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commentsmeta8"/>
  <Override ContentType="application/binary" PartName="/xl/commentsmeta6"/>
  <Override ContentType="application/binary" PartName="/xl/commentsmeta7"/>
  <Override ContentType="application/binary" PartName="/xl/commentsmeta4"/>
  <Override ContentType="application/binary" PartName="/xl/commentsmeta5"/>
  <Override ContentType="application/binary" PartName="/xl/commentsmeta2"/>
  <Override ContentType="application/binary" PartName="/xl/metadata"/>
  <Override ContentType="application/binary" PartName="/xl/commentsmeta3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8.xml"/>
  <Override ContentType="application/vnd.openxmlformats-officedocument.spreadsheetml.comments+xml" PartName="/xl/comments7.xml"/>
  <Override ContentType="application/vnd.openxmlformats-officedocument.spreadsheetml.comments+xml" PartName="/xl/comments9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mmanställning" sheetId="1" r:id="rId4"/>
    <sheet state="visible" name="Allmänt" sheetId="2" r:id="rId5"/>
    <sheet state="visible" name="DÄR" sheetId="3" r:id="rId6"/>
    <sheet state="visible" name="Ek0" sheetId="4" r:id="rId7"/>
    <sheet state="visible" name="KPH" sheetId="5" r:id="rId8"/>
    <sheet state="visible" name="Ledarna" sheetId="6" r:id="rId9"/>
    <sheet state="visible" name="n0g" sheetId="7" r:id="rId10"/>
    <sheet state="visible" name="HVM" sheetId="8" r:id="rId11"/>
    <sheet state="visible" name="n0llan" sheetId="9" r:id="rId12"/>
    <sheet state="visible" name="nUppÖk" sheetId="10" r:id="rId13"/>
    <sheet state="visible" name="PhÄLGH" sheetId="11" r:id="rId14"/>
    <sheet state="visible" name="PHÖPO" sheetId="12" r:id="rId15"/>
    <sheet state="visible" name="Phöto" sheetId="13" r:id="rId16"/>
    <sheet state="visible" name="SprÖPO" sheetId="14" r:id="rId17"/>
    <sheet state="visible" name="ÖPH" sheetId="15" r:id="rId18"/>
    <sheet state="visible" name="Kollekt" sheetId="16" r:id="rId19"/>
    <sheet state="visible" name="Resultat" sheetId="17" r:id="rId20"/>
    <sheet state="visible" name="n0llan Event" sheetId="18" r:id="rId21"/>
    <sheet state="visible" name="Phösar Event" sheetId="19" r:id="rId22"/>
  </sheets>
  <definedNames/>
  <calcPr/>
  <extLst>
    <ext uri="GoogleSheetsCustomDataVersion1">
      <go:sheetsCustomData xmlns:go="http://customooxmlschemas.google.com/" r:id="rId23" roundtripDataSignature="AMtx7miFI8MjhHK8T6OWZScBurniaCUpP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38">
      <text>
        <t xml:space="preserve">======
ID#AAAAvlNyIQA
Evelina Jönsson    (2023-04-19 12:27:11)
ÄNDRAD</t>
      </text>
    </comment>
    <comment authorId="0" ref="D29">
      <text>
        <t xml:space="preserve">======
ID#AAAAvlNyIP8
Evelina Jönsson    (2023-04-19 12:15:27)
Lagt på en till person</t>
      </text>
    </comment>
  </commentList>
  <extLst>
    <ext uri="GoogleSheetsCustomDataVersion1">
      <go:sheetsCustomData xmlns:go="http://customooxmlschemas.google.com/" r:id="rId1" roundtripDataSignature="AMtx7miCwvqWSnq56Wv9J+FY7SxywiOrTw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2">
      <text>
        <t xml:space="preserve">======
ID#AAAAvlsagpU
Oskar Dubeck    (2023-04-19 15:36:51)
Minska antal backar</t>
      </text>
    </comment>
  </commentList>
  <extLst>
    <ext uri="GoogleSheetsCustomDataVersion1">
      <go:sheetsCustomData xmlns:go="http://customooxmlschemas.google.com/" r:id="rId1" roundtripDataSignature="AMtx7miQGvl/i6QdfgZTVetkdoACWi4/Pw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00">
      <text>
        <t xml:space="preserve">======
ID#AAAAvhXSaZo
Oskar Dubeck    (2023-04-21 13:08:30)
Minska antalet sålda biljätter</t>
      </text>
    </comment>
    <comment authorId="0" ref="B29">
      <text>
        <t xml:space="preserve">======
ID#AAAAvhIO8K0
Oskar Dubeck    (2023-04-21 11:31:49)
340</t>
      </text>
    </comment>
    <comment authorId="0" ref="B28">
      <text>
        <t xml:space="preserve">======
ID#AAAAvhIO8Kw
Oskar Dubeck    (2023-04-21 11:31:12)
340 borde det vara</t>
      </text>
    </comment>
    <comment authorId="0" ref="K61">
      <text>
        <t xml:space="preserve">======
ID#AAAAvlNyIP4
Evelina Jönsson    (2023-04-19 11:57:46)
Denna post kan försvinna om det inte behövs vakter + vi har fått walkie talkies i spons</t>
      </text>
    </comment>
    <comment authorId="0" ref="N58">
      <text>
        <t xml:space="preserve">======
ID#AAAAvlNyIP0
Evelina Jönsson    (2023-04-19 11:55:52)
Beräkningar för vakter och om vi är i Nymble på Efterköret (Om det skiter sig med M)</t>
      </text>
    </comment>
    <comment authorId="0" ref="K58">
      <text>
        <t xml:space="preserve">======
ID#AAAAvlNyIPw
Evelina Jönsson    (2023-04-19 11:48:33)
Vi är osäkra på om Nymble verkligen är gratis. Denna post kan komma att inte behövas!</t>
      </text>
    </comment>
  </commentList>
  <extLst>
    <ext uri="GoogleSheetsCustomDataVersion1">
      <go:sheetsCustomData xmlns:go="http://customooxmlschemas.google.com/" r:id="rId1" roundtripDataSignature="AMtx7mjoaAwydEse+5GACE6f4dJjCgi3mg=="/>
    </ext>
  </extL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72">
      <text>
        <t xml:space="preserve">======
ID#AAAAvhIO8LU
Oskar Dubeck    (2023-04-21 11:42:28)
140?</t>
      </text>
    </comment>
    <comment authorId="0" ref="B171">
      <text>
        <t xml:space="preserve">======
ID#AAAAvhIO8LQ
Oskar Dubeck    (2023-04-21 11:42:11)
190?</t>
      </text>
    </comment>
    <comment authorId="0" ref="B170">
      <text>
        <t xml:space="preserve">======
ID#AAAAvhIO8LM
Oskar Dubeck    (2023-04-21 11:42:02)
190?</t>
      </text>
    </comment>
    <comment authorId="0" ref="B139">
      <text>
        <t xml:space="preserve">======
ID#AAAAvhIO8LE
Oskar Dubeck    (2023-04-21 11:40:43)
102</t>
      </text>
    </comment>
    <comment authorId="0" ref="B138">
      <text>
        <t xml:space="preserve">======
ID#AAAAvhIO8LA
Oskar Dubeck    (2023-04-21 11:40:22)
137</t>
      </text>
    </comment>
    <comment authorId="0" ref="B137">
      <text>
        <t xml:space="preserve">======
ID#AAAAvhIO8K8
Oskar Dubeck    (2023-04-21 11:40:14)
137</t>
      </text>
    </comment>
    <comment authorId="0" ref="B26">
      <text>
        <t xml:space="preserve">======
ID#AAAAvhIO8K4
Oskar Dubeck    (2023-04-21 11:33:50)
Varför städavgift</t>
      </text>
    </comment>
    <comment authorId="0" ref="B60">
      <text>
        <t xml:space="preserve">======
ID#AAAAvlsagpQ
Oskar Dubeck    (2023-04-19 15:30:20)
Städavgifter för dålig städning får phösarna stå för privat.</t>
      </text>
    </comment>
  </commentList>
  <extLst>
    <ext uri="GoogleSheetsCustomDataVersion1">
      <go:sheetsCustomData xmlns:go="http://customooxmlschemas.google.com/" r:id="rId1" roundtripDataSignature="AMtx7mgcUu6xOvJUsYep1phVQ0ZEizAK1A=="/>
    </ext>
  </extL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35">
      <text>
        <t xml:space="preserve">======
ID#AAAAvlNyIQI
Evelina Jönsson    (2023-04-19 12:45:45)
Kan tas bort</t>
      </text>
    </comment>
  </commentList>
  <extLst>
    <ext uri="GoogleSheetsCustomDataVersion1">
      <go:sheetsCustomData xmlns:go="http://customooxmlschemas.google.com/" r:id="rId1" roundtripDataSignature="AMtx7mga7+hsKZqoV0bSEFZ3ihvJgYtfVw=="/>
    </ext>
  </extL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3">
      <text>
        <t xml:space="preserve">======
ID#AAAAvlNyIQU
Evelina Jönsson    (2023-04-19 12:52:22)
Inget alkfritt alternativ på detta event</t>
      </text>
    </comment>
    <comment authorId="0" ref="B55">
      <text>
        <t xml:space="preserve">======
ID#AAAAvlNyIQQ
Evelina Jönsson    (2023-04-19 12:51:08)
Inget alkfritt alternativ, endast läsk och alk
------
ID#AAAAvl0I--U
Oskar Dubeck    (2023-04-20 10:13:23)
Finns det en anledning till att vi tar bort det alkohol fria alternativet helt ?</t>
      </text>
    </comment>
  </commentList>
  <extLst>
    <ext uri="GoogleSheetsCustomDataVersion1">
      <go:sheetsCustomData xmlns:go="http://customooxmlschemas.google.com/" r:id="rId1" roundtripDataSignature="AMtx7mhd5rTy50fIb3hUKYKy0CqpmKCnMw=="/>
    </ext>
  </extLst>
</comments>
</file>

<file path=xl/comments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97">
      <text>
        <t xml:space="preserve">======
ID#AAAAvhIO8Ls
Oskar Dubeck    (2023-04-21 11:48:18)
100</t>
      </text>
    </comment>
    <comment authorId="0" ref="B96">
      <text>
        <t xml:space="preserve">======
ID#AAAAvhIO8Lo
Oskar Dubeck    (2023-04-21 11:47:53)
186?</t>
      </text>
    </comment>
    <comment authorId="0" ref="B95">
      <text>
        <t xml:space="preserve">======
ID#AAAAvhIO8Lk
Oskar Dubeck    (2023-04-21 11:47:42)
186?</t>
      </text>
    </comment>
    <comment authorId="0" ref="B41">
      <text>
        <t xml:space="preserve">======
ID#AAAAvhIO8Lg
Oskar Dubeck    (2023-04-21 11:46:27)
70</t>
      </text>
    </comment>
    <comment authorId="0" ref="B40">
      <text>
        <t xml:space="preserve">======
ID#AAAAvhIO8Lc
Oskar Dubeck    (2023-04-21 11:45:58)
90</t>
      </text>
    </comment>
    <comment authorId="0" ref="B39">
      <text>
        <t xml:space="preserve">======
ID#AAAAvhIO8LY
Oskar Dubeck    (2023-04-21 11:45:37)
90</t>
      </text>
    </comment>
    <comment authorId="0" ref="B124">
      <text>
        <t xml:space="preserve">======
ID#AAAAvlooTRI
Oskar Dubeck    (2023-04-19 16:14:07)
Måste kosta mindre
------
ID#AAAAvlooTRM
Oskar Dubeck    (2023-04-19 16:15:14)
Vandrings sittning möjligtvis ?
------
ID#AAAAvlooTRU
Oskar Dubeck    (2023-04-19 16:18:40)
Sänk kostnader med minst 20k
------
ID#AAAAvdaRupY
Oskar Dubeck    (2023-04-20 07:31:48)
Går det göra en vandrings sittning typ smörjis och ett till ställe ?</t>
      </text>
    </comment>
  </commentList>
  <extLst>
    <ext uri="GoogleSheetsCustomDataVersion1">
      <go:sheetsCustomData xmlns:go="http://customooxmlschemas.google.com/" r:id="rId1" roundtripDataSignature="AMtx7mhOSLXed279uTqAfjqa4kZlx05Mhw=="/>
    </ext>
  </extLst>
</comments>
</file>

<file path=xl/comments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1">
      <text>
        <t xml:space="preserve">======
ID#AAAAvlooTQs
Oskar Dubeck    (2023-04-19 16:05:43)
Behövs det 4 tidningar räcker det med en och 0.se</t>
      </text>
    </comment>
    <comment authorId="0" ref="G25">
      <text>
        <t xml:space="preserve">======
ID#AAAAvlNyIQY
Evelina Jönsson    (2023-04-19 12:55:17)
Kan tas bort</t>
      </text>
    </comment>
  </commentList>
  <extLst>
    <ext uri="GoogleSheetsCustomDataVersion1">
      <go:sheetsCustomData xmlns:go="http://customooxmlschemas.google.com/" r:id="rId1" roundtripDataSignature="AMtx7mjbypWlhJL95dVRdqNOmjX0PkLOZQ=="/>
    </ext>
  </extLst>
</comments>
</file>

<file path=xl/comments9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69">
      <text>
        <t xml:space="preserve">======
ID#AAAAvhIO8Lw
Oskar Dubeck    (2023-04-21 11:51:17)
Hur mycket mat ?</t>
      </text>
    </comment>
    <comment authorId="0" ref="B109">
      <text>
        <t xml:space="preserve">======
ID#AAAAvlsagpg
Oskar Dubeck    (2023-04-19 15:46:34)
Är detta en "lön" till SprÖPO? Isåfall ta bort.</t>
      </text>
    </comment>
  </commentList>
  <extLst>
    <ext uri="GoogleSheetsCustomDataVersion1">
      <go:sheetsCustomData xmlns:go="http://customooxmlschemas.google.com/" r:id="rId1" roundtripDataSignature="AMtx7mgyFa8oujwmCOm1jUVhvtQroQk4yA=="/>
    </ext>
  </extLst>
</comments>
</file>

<file path=xl/sharedStrings.xml><?xml version="1.0" encoding="utf-8"?>
<sst xmlns="http://schemas.openxmlformats.org/spreadsheetml/2006/main" count="2121" uniqueCount="444">
  <si>
    <t>Sammanställning</t>
  </si>
  <si>
    <t>Resultat</t>
  </si>
  <si>
    <t>Budgeterat</t>
  </si>
  <si>
    <t>Utfall</t>
  </si>
  <si>
    <t>Diff</t>
  </si>
  <si>
    <t>Vecka noll:</t>
  </si>
  <si>
    <t>Typ</t>
  </si>
  <si>
    <t>Summa</t>
  </si>
  <si>
    <t>Kommentar</t>
  </si>
  <si>
    <t>Första veckan:</t>
  </si>
  <si>
    <t>Allmänt</t>
  </si>
  <si>
    <t>Andra veckan:</t>
  </si>
  <si>
    <t>DÄR</t>
  </si>
  <si>
    <t>Tredje veckan:</t>
  </si>
  <si>
    <t>Ek0</t>
  </si>
  <si>
    <t>Fjärde veckan:</t>
  </si>
  <si>
    <t>HVM</t>
  </si>
  <si>
    <t>KPH</t>
  </si>
  <si>
    <t>Ledarna</t>
  </si>
  <si>
    <t>n0g</t>
  </si>
  <si>
    <t>n0llan</t>
  </si>
  <si>
    <t>nUppÖk</t>
  </si>
  <si>
    <t>PhÄLGH</t>
  </si>
  <si>
    <t>PHÖPO</t>
  </si>
  <si>
    <t>Phöto</t>
  </si>
  <si>
    <t>SprÖPO</t>
  </si>
  <si>
    <t>ÖPH</t>
  </si>
  <si>
    <t>Totalt</t>
  </si>
  <si>
    <t>Icke grupp specifika kostnader</t>
  </si>
  <si>
    <t>Budget</t>
  </si>
  <si>
    <t>Fasta intäkter</t>
  </si>
  <si>
    <t>Fasta utgifter</t>
  </si>
  <si>
    <t xml:space="preserve">Fasta intäkter </t>
  </si>
  <si>
    <t>Spons</t>
  </si>
  <si>
    <t>Företag</t>
  </si>
  <si>
    <t xml:space="preserve">Svea Teknik </t>
  </si>
  <si>
    <t>Sveriges ingenjörer</t>
  </si>
  <si>
    <t>Övrigt</t>
  </si>
  <si>
    <t>Antal</t>
  </si>
  <si>
    <t>Styckpris</t>
  </si>
  <si>
    <t>Sektions-bidrag</t>
  </si>
  <si>
    <t>Osäker på vad denna ligger på ?</t>
  </si>
  <si>
    <t>n0lle-kit</t>
  </si>
  <si>
    <t>N0llan betalar inte för n0lle-kit: skärm och sångbok</t>
  </si>
  <si>
    <t>kostnad för phösarkit</t>
  </si>
  <si>
    <t>Kollekt (Alk)</t>
  </si>
  <si>
    <t>Kollekt (Alkfri)</t>
  </si>
  <si>
    <t>Kollekt (Läsk)</t>
  </si>
  <si>
    <t>Utgifter</t>
  </si>
  <si>
    <t xml:space="preserve">Antal </t>
  </si>
  <si>
    <t>Phösartisha</t>
  </si>
  <si>
    <t>Tisha till alla phösare</t>
  </si>
  <si>
    <t>Klämma</t>
  </si>
  <si>
    <t>Klämma till brickor, höjt med avseende på föregående års resultat</t>
  </si>
  <si>
    <t>Bricka</t>
  </si>
  <si>
    <t>Inköp av skiva för laserskärning av brickor</t>
  </si>
  <si>
    <t>Medalj</t>
  </si>
  <si>
    <t>Phösarmedalj till alla i phöseriet</t>
  </si>
  <si>
    <t>Skärm</t>
  </si>
  <si>
    <t>Skärmar till n0llan, med en buffert på ca 20 skärmar för max antal nya n0llan per program</t>
  </si>
  <si>
    <t>Skärmbränning</t>
  </si>
  <si>
    <t>Inköp av grejer till skärmbränning</t>
  </si>
  <si>
    <t>Sånghäften</t>
  </si>
  <si>
    <t>Utskrift av sånghäften</t>
  </si>
  <si>
    <t>Diesel</t>
  </si>
  <si>
    <t>Pengar för tankning av M-bussen och Alten</t>
  </si>
  <si>
    <t>Vad är detta för post?</t>
  </si>
  <si>
    <t>Västar</t>
  </si>
  <si>
    <t>Utrymmningsvästar</t>
  </si>
  <si>
    <t>Övrigt(Oförutsedda kostnader)</t>
  </si>
  <si>
    <t>Buffertpost</t>
  </si>
  <si>
    <t>Sångböcker</t>
  </si>
  <si>
    <t>Sångböcker (ges gratis till n0llan) räknat på maximalt antal på 80 fler nollan</t>
  </si>
  <si>
    <t>Hyra bord</t>
  </si>
  <si>
    <t>Hyra av bord under mottagningen</t>
  </si>
  <si>
    <t>Luncher</t>
  </si>
  <si>
    <t>Lunch #1</t>
  </si>
  <si>
    <t>Lunch #2</t>
  </si>
  <si>
    <t>Kostnader</t>
  </si>
  <si>
    <t>Lyx-häfv</t>
  </si>
  <si>
    <t>Häfvet som n0llan får köra på scen! Inhandling av bl.a. dryck och ljus</t>
  </si>
  <si>
    <t>VIP-n0llan</t>
  </si>
  <si>
    <t>Tävlingar för n0llan för att bli vip samt för laminering av "VIP-biljett"</t>
  </si>
  <si>
    <t>KPH-pub</t>
  </si>
  <si>
    <t>Klassskyltar</t>
  </si>
  <si>
    <t>Inköp av pinnar samt frigolit</t>
  </si>
  <si>
    <t>KPH-event</t>
  </si>
  <si>
    <t>Plexiglas för medaljer till vinnarna av KPH-brännboll!</t>
  </si>
  <si>
    <t>Markeringspennor</t>
  </si>
  <si>
    <t>Skriva på n0lle-skärmar</t>
  </si>
  <si>
    <t>Tejp</t>
  </si>
  <si>
    <t>KPH-tejp för n0llan</t>
  </si>
  <si>
    <t>KPH-Pub</t>
  </si>
  <si>
    <t>BORTTAGET EVENT?</t>
  </si>
  <si>
    <t>Campusvandring</t>
  </si>
  <si>
    <r>
      <rPr>
        <rFont val="Arial"/>
      </rPr>
      <t xml:space="preserve">135kr/back? </t>
    </r>
    <r>
      <rPr>
        <rFont val="Arial"/>
        <color rgb="FF1155CC"/>
        <u/>
      </rPr>
      <t>länk</t>
    </r>
  </si>
  <si>
    <t>Häfvpub</t>
  </si>
  <si>
    <t>Intäkter</t>
  </si>
  <si>
    <t>Häfvöl</t>
  </si>
  <si>
    <t>Lättöl! (86 st backar)</t>
  </si>
  <si>
    <t>Häfvläsk</t>
  </si>
  <si>
    <t>Försäljning mat</t>
  </si>
  <si>
    <t>Mat</t>
  </si>
  <si>
    <t>Mat+dryck+engångsartiklar</t>
  </si>
  <si>
    <t>grillkol</t>
  </si>
  <si>
    <t>Alkohol</t>
  </si>
  <si>
    <t>Läsk</t>
  </si>
  <si>
    <t>Alkfri</t>
  </si>
  <si>
    <t>Kommentarer</t>
  </si>
  <si>
    <t>KAN TAS BORT</t>
  </si>
  <si>
    <t>Högtalare</t>
  </si>
  <si>
    <t>Generator</t>
  </si>
  <si>
    <t>n0g-sittning</t>
  </si>
  <si>
    <t>n0g-efterkör</t>
  </si>
  <si>
    <t>n0g - sittning</t>
  </si>
  <si>
    <t>Intäkter phösare/externa</t>
  </si>
  <si>
    <t>Alk-kuvert</t>
  </si>
  <si>
    <t>Kuvert kostade 270 förra året</t>
  </si>
  <si>
    <t/>
  </si>
  <si>
    <t>Alkfri-kuvert</t>
  </si>
  <si>
    <t>Läsk-kuvert</t>
  </si>
  <si>
    <t>DÄR alk</t>
  </si>
  <si>
    <t>DÄR alkfri</t>
  </si>
  <si>
    <t>Extern alk</t>
  </si>
  <si>
    <t>Extern alkfri</t>
  </si>
  <si>
    <t>Intäkter n0llan</t>
  </si>
  <si>
    <t>Intäkter försäljning</t>
  </si>
  <si>
    <t>Punsch</t>
  </si>
  <si>
    <t>Nubbe</t>
  </si>
  <si>
    <t>Alkfri punsch</t>
  </si>
  <si>
    <t>Ändrad till 10kr/st</t>
  </si>
  <si>
    <t>Alkfri nubbe</t>
  </si>
  <si>
    <t>Fasta kostnader</t>
  </si>
  <si>
    <t>RN</t>
  </si>
  <si>
    <t>Ljud och ljus person från RN - behövs endast för sittningen</t>
  </si>
  <si>
    <t>Lokalhyra</t>
  </si>
  <si>
    <t>För Nymble: M-huset ska vara gratis enligt AH</t>
  </si>
  <si>
    <t>Husvärd</t>
  </si>
  <si>
    <t xml:space="preserve">Avgift för husvärd i Nymble </t>
  </si>
  <si>
    <t>Dekor</t>
  </si>
  <si>
    <t>Sittningsdekor</t>
  </si>
  <si>
    <t>Vakter</t>
  </si>
  <si>
    <t>Behövs vakter för Nymble?</t>
  </si>
  <si>
    <t>35000 för 700 pers (indek ska dela med oss)</t>
  </si>
  <si>
    <t>Radio vakt</t>
  </si>
  <si>
    <t>Walkie talkies för vakter</t>
  </si>
  <si>
    <t>Garderob + tags</t>
  </si>
  <si>
    <t>Pris för garderob och inhandling av tags till garderob</t>
  </si>
  <si>
    <t>4375 för 700pers. 60%M</t>
  </si>
  <si>
    <t>Bar, stödmedlemskap</t>
  </si>
  <si>
    <t>NKM 8 h (200 kr/h)</t>
  </si>
  <si>
    <t>Rörliga kostnader</t>
  </si>
  <si>
    <t>Mat sittande</t>
  </si>
  <si>
    <t>Pålagt med 30 % (Matpriser har gått upp 20% sen förra året, då låg maten på 160kr)</t>
  </si>
  <si>
    <t>51300 kr 2019/20</t>
  </si>
  <si>
    <t>Alkholpriset (inköp) per person</t>
  </si>
  <si>
    <t>22080 19/20</t>
  </si>
  <si>
    <t>Alkfritt</t>
  </si>
  <si>
    <t>Alkfritt inköpspriset per person</t>
  </si>
  <si>
    <t>390 kr 19/20</t>
  </si>
  <si>
    <t>Läsk inköpspriset per person</t>
  </si>
  <si>
    <t>Mat serveringspersonal</t>
  </si>
  <si>
    <t>Mat för serveringspersonal</t>
  </si>
  <si>
    <t>n0g-glas</t>
  </si>
  <si>
    <t>Inköp av glas till alla</t>
  </si>
  <si>
    <t>n0g-märken</t>
  </si>
  <si>
    <t>märken till alla</t>
  </si>
  <si>
    <t>Porslin</t>
  </si>
  <si>
    <t>Hyra av porslin till sittning</t>
  </si>
  <si>
    <t>Antal flaskor nubbe som inhandlas</t>
  </si>
  <si>
    <t>350kr för en 70cl</t>
  </si>
  <si>
    <t>Antal flaskor Punsch som inhandlas</t>
  </si>
  <si>
    <t>Antal alkfri nubbe</t>
  </si>
  <si>
    <t>en enhet</t>
  </si>
  <si>
    <t>Antal alkfri punsch</t>
  </si>
  <si>
    <t>Eftersläppsbiljetter</t>
  </si>
  <si>
    <t>Biljett i dörr</t>
  </si>
  <si>
    <t>Byggpizza</t>
  </si>
  <si>
    <t>Byggdryck</t>
  </si>
  <si>
    <t>n0g-bar mat</t>
  </si>
  <si>
    <t>Bar 1-4 dricka</t>
  </si>
  <si>
    <t>Serveringstillstånd</t>
  </si>
  <si>
    <t>Polis+serveringstillstånd</t>
  </si>
  <si>
    <t>Brandinspektion</t>
  </si>
  <si>
    <t>Brandsläckare</t>
  </si>
  <si>
    <t>Städmaterial</t>
  </si>
  <si>
    <t>Garderob</t>
  </si>
  <si>
    <t>Vill Brazilia ha betalt?</t>
  </si>
  <si>
    <t>Marscheller+facklor</t>
  </si>
  <si>
    <t>Dekor bar</t>
  </si>
  <si>
    <t>Hoppborg</t>
  </si>
  <si>
    <t>Kanske inte blir någon hoppborg pga KTH säk</t>
  </si>
  <si>
    <t>Ljud/Ljus Salomon</t>
  </si>
  <si>
    <t>Hyra för hela mottagningen</t>
  </si>
  <si>
    <t>Övrig utrustningshyra</t>
  </si>
  <si>
    <t>ÖPH station</t>
  </si>
  <si>
    <t>Duk</t>
  </si>
  <si>
    <t>Staket</t>
  </si>
  <si>
    <t>Frakt av kylskåp</t>
  </si>
  <si>
    <t xml:space="preserve">spendrups </t>
  </si>
  <si>
    <t>Fika</t>
  </si>
  <si>
    <t>Mat n0g-bar</t>
  </si>
  <si>
    <t>Inköp alkohol</t>
  </si>
  <si>
    <t>Inköp alkfritt+Läsk</t>
  </si>
  <si>
    <t>Event 1</t>
  </si>
  <si>
    <t>Event 2</t>
  </si>
  <si>
    <t>Event 3</t>
  </si>
  <si>
    <t>Event 4</t>
  </si>
  <si>
    <t>Event 5</t>
  </si>
  <si>
    <t>Event 6</t>
  </si>
  <si>
    <t>Utgiter</t>
  </si>
  <si>
    <t>Event 1 (Välkomstpub)</t>
  </si>
  <si>
    <t>Städavgift</t>
  </si>
  <si>
    <t>eventuell</t>
  </si>
  <si>
    <t xml:space="preserve">Behövs inga vakter under 200 pers </t>
  </si>
  <si>
    <t>Event 2 (Kräftis)</t>
  </si>
  <si>
    <t>Intäkter phös</t>
  </si>
  <si>
    <t>DÄR-Alk</t>
  </si>
  <si>
    <t>DÄR-Alkfri</t>
  </si>
  <si>
    <t>Engångsartiklar</t>
  </si>
  <si>
    <t>Frukost</t>
  </si>
  <si>
    <t>Potentiell städavgift</t>
  </si>
  <si>
    <t>Event 3 (Bludder 1)</t>
  </si>
  <si>
    <t>Mat+engåns+dekor</t>
  </si>
  <si>
    <t>Event 4 (Bludder 2)</t>
  </si>
  <si>
    <t>Mat+engångs+dekor</t>
  </si>
  <si>
    <t>Event 5 (Bludder 3 Snyltis)</t>
  </si>
  <si>
    <t>Externa-alk</t>
  </si>
  <si>
    <t>Externa-alkfri</t>
  </si>
  <si>
    <t>Externa-läsk</t>
  </si>
  <si>
    <t>Event 6 (Bludder 4 Lyx)</t>
  </si>
  <si>
    <t>n0llan-mys</t>
  </si>
  <si>
    <t>n0llanuppdrag</t>
  </si>
  <si>
    <t>Uppdrag som n0llan gör till smörjis varje år</t>
  </si>
  <si>
    <t>Avrättning</t>
  </si>
  <si>
    <t>Budget för avrättningsvideos</t>
  </si>
  <si>
    <t>n0llekit</t>
  </si>
  <si>
    <t>n0llekit som n0llan får</t>
  </si>
  <si>
    <t>Inhandling av våffelmix</t>
  </si>
  <si>
    <t>Tallkrik och dylik</t>
  </si>
  <si>
    <t>Hemlig Hemlispub</t>
  </si>
  <si>
    <t>Kårvens afton</t>
  </si>
  <si>
    <t>Kostnad</t>
  </si>
  <si>
    <t>Lekbudget</t>
  </si>
  <si>
    <t>Budget för inköp av tex lektillbehör, tex maraccas och dyl.</t>
  </si>
  <si>
    <t>n0lleuppdrag</t>
  </si>
  <si>
    <t>Budget för utskrift av n0lleuppdrag</t>
  </si>
  <si>
    <t>Extra nuppök t-shirt</t>
  </si>
  <si>
    <t>Extra nUppÖk-tisha</t>
  </si>
  <si>
    <t>Frukost vecka 4</t>
  </si>
  <si>
    <t>Superhemliga Hemlispuben</t>
  </si>
  <si>
    <t>Snacks</t>
  </si>
  <si>
    <t>Popcorn/godis/tema enligt snacks till pub</t>
  </si>
  <si>
    <t>Medaljer</t>
  </si>
  <si>
    <t>Plexiglas</t>
  </si>
  <si>
    <t>Dekor till pub</t>
  </si>
  <si>
    <t>Kårvens Afton</t>
  </si>
  <si>
    <t>Intäkter phösare</t>
  </si>
  <si>
    <t>Lekar</t>
  </si>
  <si>
    <t>Inköp</t>
  </si>
  <si>
    <t>Mat+engångs</t>
  </si>
  <si>
    <t>OBS ändring:</t>
  </si>
  <si>
    <t>3 enheter/person</t>
  </si>
  <si>
    <t>alk 85 kr</t>
  </si>
  <si>
    <t xml:space="preserve">läsk 70 kr </t>
  </si>
  <si>
    <t>ingen alkfri</t>
  </si>
  <si>
    <t>Lådbilsbygget</t>
  </si>
  <si>
    <t>Ärtan</t>
  </si>
  <si>
    <t>Sångargasquen</t>
  </si>
  <si>
    <t>Utifter</t>
  </si>
  <si>
    <t>Förbrukningsmaterial</t>
  </si>
  <si>
    <t>Nya spikar mest, ska räcka långt</t>
  </si>
  <si>
    <t>höjt 10 kr</t>
  </si>
  <si>
    <t>höjt 15 kr, dyrt med läsk nu för tiden</t>
  </si>
  <si>
    <t>Höjt 20 kr per kuver tför n0llan</t>
  </si>
  <si>
    <t>Intäkter dryck</t>
  </si>
  <si>
    <t>Alkfri Punsch</t>
  </si>
  <si>
    <t>Efterkör alk</t>
  </si>
  <si>
    <t>Sätt in i izettle 75% påslag</t>
  </si>
  <si>
    <t>tältet, samma pris?</t>
  </si>
  <si>
    <t>beror på antal bokningar</t>
  </si>
  <si>
    <t>utökat tillstånd</t>
  </si>
  <si>
    <t>Rörliga utgifter</t>
  </si>
  <si>
    <t>Inköp mat</t>
  </si>
  <si>
    <t>Kanske mer (efterfrågan/engångs)</t>
  </si>
  <si>
    <t>(pray)</t>
  </si>
  <si>
    <t>För varje person</t>
  </si>
  <si>
    <t>Lägga på 1,25</t>
  </si>
  <si>
    <t>Har gått upp från 2022</t>
  </si>
  <si>
    <t>70 cl flaska</t>
  </si>
  <si>
    <t>Alkohol efterkör</t>
  </si>
  <si>
    <t>marginal på 3225 kr</t>
  </si>
  <si>
    <t>höjt med 10 kr</t>
  </si>
  <si>
    <t>Beror på lokal, alken dyrare på MF</t>
  </si>
  <si>
    <t>höjt med 30 kr</t>
  </si>
  <si>
    <t>Efterkörsdricka</t>
  </si>
  <si>
    <t>Efterkörsbiljetter</t>
  </si>
  <si>
    <t>För 0llan som inte får plats</t>
  </si>
  <si>
    <t>Mat har gått upp 20%</t>
  </si>
  <si>
    <t>Alk har gått up 2-3 %</t>
  </si>
  <si>
    <t>varav deposition 6000kr</t>
  </si>
  <si>
    <t>Mycket här beror på lokal</t>
  </si>
  <si>
    <t>Vakt till 02! Kan städpersonal stanna? (kolla upp)</t>
  </si>
  <si>
    <t>hur många behövs? 100kr/st</t>
  </si>
  <si>
    <t>höjt 20kr styck</t>
  </si>
  <si>
    <t>Köper från medicinska</t>
  </si>
  <si>
    <t>Alkfritt + läsk efterkör</t>
  </si>
  <si>
    <t>Läsk för efterkör för att alla n0llan ska kunna köpa läsk eller alkfritt på efterkör</t>
  </si>
  <si>
    <t>Alkoholfritt</t>
  </si>
  <si>
    <t>Mat jobbphös</t>
  </si>
  <si>
    <t>höjt 20 kr styck</t>
  </si>
  <si>
    <t>3 cl</t>
  </si>
  <si>
    <t>SF försäkring</t>
  </si>
  <si>
    <t>Försäkrning för SF</t>
  </si>
  <si>
    <t>SF lagningar</t>
  </si>
  <si>
    <t>Lagningar/nya batterier</t>
  </si>
  <si>
    <t>SF parkering</t>
  </si>
  <si>
    <t>Parkering på skolan</t>
  </si>
  <si>
    <t>Trängselskatt</t>
  </si>
  <si>
    <t>Trängselskatt vid använding av SF</t>
  </si>
  <si>
    <t>Whip-n0llan</t>
  </si>
  <si>
    <t>PHÖPOS tejpade skärmar</t>
  </si>
  <si>
    <t>Eldsprutning</t>
  </si>
  <si>
    <t>Inköp av lampolja, vaselin och tyg</t>
  </si>
  <si>
    <t>Digital AW</t>
  </si>
  <si>
    <t>M-nollan</t>
  </si>
  <si>
    <t>Drar ner och trycka färre tidningar (sparar 11k)</t>
  </si>
  <si>
    <t>Tidningar</t>
  </si>
  <si>
    <t>0an.se</t>
  </si>
  <si>
    <t>Sido-kostnad för domän</t>
  </si>
  <si>
    <t>Drive</t>
  </si>
  <si>
    <t>Drive-utrymme</t>
  </si>
  <si>
    <t>Buffert</t>
  </si>
  <si>
    <t>Hårddisk</t>
  </si>
  <si>
    <t>Mic</t>
  </si>
  <si>
    <t>Inhandling av mic</t>
  </si>
  <si>
    <t>AW</t>
  </si>
  <si>
    <t>Internatet</t>
  </si>
  <si>
    <t>Stugan</t>
  </si>
  <si>
    <t>Utskällningen</t>
  </si>
  <si>
    <t>Sillis</t>
  </si>
  <si>
    <t>Civilis</t>
  </si>
  <si>
    <t xml:space="preserve"> </t>
  </si>
  <si>
    <t>First aid kit</t>
  </si>
  <si>
    <t>Kuvert</t>
  </si>
  <si>
    <t>Mat + engångsartiklar</t>
  </si>
  <si>
    <t>Bensin</t>
  </si>
  <si>
    <t>DÄR-alk</t>
  </si>
  <si>
    <t>DÄR-alkfri</t>
  </si>
  <si>
    <t>ändrade till 30 kr från 25</t>
  </si>
  <si>
    <t>Buss</t>
  </si>
  <si>
    <t xml:space="preserve">Ökat med 400kr </t>
  </si>
  <si>
    <t>Märken</t>
  </si>
  <si>
    <t>Ligger kvar med ökning från utfall från 2022</t>
  </si>
  <si>
    <t>Ved, engångs, toapapper</t>
  </si>
  <si>
    <t>Alk, gemensamma stationer</t>
  </si>
  <si>
    <t>Till phösare + n0llan</t>
  </si>
  <si>
    <t>Alkfritt, gemensamma stationer</t>
  </si>
  <si>
    <t>Läsk, gemensamma stationer</t>
  </si>
  <si>
    <t>Alk, endast nollan</t>
  </si>
  <si>
    <t>Stationer med alk till endast n0llan</t>
  </si>
  <si>
    <t>Alkfritt, nollan</t>
  </si>
  <si>
    <t>Stationer med alkfritt till endast n0llan</t>
  </si>
  <si>
    <t>Läsk, nollan</t>
  </si>
  <si>
    <t xml:space="preserve">Stationer med läsk till endast n0llan </t>
  </si>
  <si>
    <t>öl och cider</t>
  </si>
  <si>
    <t>Jobbphös intäkt</t>
  </si>
  <si>
    <t>Tillstånd</t>
  </si>
  <si>
    <t>Konserttillstånd</t>
  </si>
  <si>
    <t>Vi får se</t>
  </si>
  <si>
    <t>Extra bil</t>
  </si>
  <si>
    <t>ÖPH-bilen</t>
  </si>
  <si>
    <t>?</t>
  </si>
  <si>
    <t>Ljud/Ljus</t>
  </si>
  <si>
    <t>Aggregat/högtalar system</t>
  </si>
  <si>
    <t>Perssons/Spexets högtalare antagligen, borde vara mycket mindre/gratis</t>
  </si>
  <si>
    <t>Dryck</t>
  </si>
  <si>
    <t>alkfritt</t>
  </si>
  <si>
    <t>CG-bludder</t>
  </si>
  <si>
    <t>Idrottsdag</t>
  </si>
  <si>
    <t>Tackkör</t>
  </si>
  <si>
    <t>Inmarsch frulle</t>
  </si>
  <si>
    <t>Gravering</t>
  </si>
  <si>
    <t>Shorts</t>
  </si>
  <si>
    <t>Överlämning</t>
  </si>
  <si>
    <t>Fika JML</t>
  </si>
  <si>
    <t>JML workshop fika</t>
  </si>
  <si>
    <t>Bludder random (CG/I)</t>
  </si>
  <si>
    <t>mat+engångs+dekor</t>
  </si>
  <si>
    <t>n0llan+phös, ökar budget enl. höjda matpriser</t>
  </si>
  <si>
    <t>Rekvisita</t>
  </si>
  <si>
    <t>mat+dryck+engångs</t>
  </si>
  <si>
    <t>mat+engångsartiklar</t>
  </si>
  <si>
    <t>Räknat på juice + kaffe</t>
  </si>
  <si>
    <t>PHÖS</t>
  </si>
  <si>
    <t>N0llan</t>
  </si>
  <si>
    <t xml:space="preserve">Alk </t>
  </si>
  <si>
    <t>Alk-fri</t>
  </si>
  <si>
    <t>Alk</t>
  </si>
  <si>
    <t>Soppan</t>
  </si>
  <si>
    <t>Ärtans</t>
  </si>
  <si>
    <t>x</t>
  </si>
  <si>
    <t>Operan</t>
  </si>
  <si>
    <t xml:space="preserve">Sångargasquen </t>
  </si>
  <si>
    <t>Tillräckligt</t>
  </si>
  <si>
    <t>Salchichans</t>
  </si>
  <si>
    <t xml:space="preserve">Kårvens </t>
  </si>
  <si>
    <t>Hummer</t>
  </si>
  <si>
    <t xml:space="preserve">Kräftis </t>
  </si>
  <si>
    <t>Björnbär</t>
  </si>
  <si>
    <t>Bludder 1</t>
  </si>
  <si>
    <t>Krusbär</t>
  </si>
  <si>
    <t>Bludder 2</t>
  </si>
  <si>
    <t>Tranbär</t>
  </si>
  <si>
    <t>Bludder 3</t>
  </si>
  <si>
    <t>Körsbär</t>
  </si>
  <si>
    <t>Bludder 4</t>
  </si>
  <si>
    <t>Tvåbär</t>
  </si>
  <si>
    <t>CG Bludder</t>
  </si>
  <si>
    <t xml:space="preserve">Inmarsfrulle </t>
  </si>
  <si>
    <t xml:space="preserve">Internatet </t>
  </si>
  <si>
    <t>Hytten</t>
  </si>
  <si>
    <t xml:space="preserve">Sillis </t>
  </si>
  <si>
    <t xml:space="preserve">Civilis </t>
  </si>
  <si>
    <t>Dankekör</t>
  </si>
  <si>
    <t xml:space="preserve">Tackkör </t>
  </si>
  <si>
    <t>Administration</t>
  </si>
  <si>
    <t>Allmänt (Brickor, medalj, T-shirt)</t>
  </si>
  <si>
    <t xml:space="preserve">Summa: </t>
  </si>
  <si>
    <t>Kollekt-&gt;</t>
  </si>
  <si>
    <t>Läsk-nollan &amp; Alk-phös</t>
  </si>
  <si>
    <t>Pris</t>
  </si>
  <si>
    <t>Svea teknik</t>
  </si>
  <si>
    <t>Sveriges Ingenjörer</t>
  </si>
  <si>
    <t>Sektionsbidrag</t>
  </si>
  <si>
    <t>Nolle-kit</t>
  </si>
  <si>
    <t>Kollekt</t>
  </si>
  <si>
    <t>Fasta utgiter</t>
  </si>
  <si>
    <t>Gratis lunch Nollan</t>
  </si>
  <si>
    <t>n0llan-event</t>
  </si>
  <si>
    <t>Välkomstpub</t>
  </si>
  <si>
    <t>Kårvensafton</t>
  </si>
  <si>
    <t>Campusvandringen</t>
  </si>
  <si>
    <t>Kräftis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</si>
</sst>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[$kr-41D]"/>
    <numFmt numFmtId="165" formatCode="#,##0&quot;kr&quot;"/>
    <numFmt numFmtId="166" formatCode="[hh].mm.ss"/>
  </numFmts>
  <fonts count="24">
    <font>
      <sz val="10.0"/>
      <color rgb="FF000000"/>
      <name val="Arial"/>
      <scheme val="minor"/>
    </font>
    <font>
      <color theme="1"/>
      <name val="Arial"/>
    </font>
    <font>
      <b/>
      <sz val="14.0"/>
      <color theme="1"/>
      <name val="Calibri"/>
    </font>
    <font>
      <b/>
      <i/>
      <sz val="12.0"/>
      <color theme="1"/>
      <name val="Calibri"/>
    </font>
    <font>
      <i/>
      <sz val="12.0"/>
      <color theme="1"/>
      <name val="Calibri"/>
    </font>
    <font>
      <b/>
      <sz val="12.0"/>
      <color theme="1"/>
      <name val="Calibri"/>
    </font>
    <font>
      <sz val="12.0"/>
      <color theme="1"/>
      <name val="Calibri"/>
    </font>
    <font>
      <i/>
      <sz val="12.0"/>
      <color rgb="FFFFFFFF"/>
      <name val="Calibri"/>
    </font>
    <font>
      <b/>
      <sz val="18.0"/>
      <color theme="1"/>
      <name val="Calibri"/>
    </font>
    <font>
      <b/>
      <i/>
      <sz val="14.0"/>
      <color theme="1"/>
      <name val="Calibri"/>
    </font>
    <font>
      <sz val="9.0"/>
      <color rgb="FF4D4D4D"/>
      <name val="Roboto"/>
    </font>
    <font>
      <color rgb="FF4D4D4D"/>
      <name val="Arial"/>
    </font>
    <font>
      <u/>
      <color rgb="FF0000FF"/>
      <name val="Arial"/>
    </font>
    <font/>
    <font>
      <sz val="11.0"/>
      <color rgb="FF222222"/>
      <name val="Arial"/>
    </font>
    <font>
      <sz val="11.0"/>
      <color rgb="FFF7981D"/>
      <name val="Arial"/>
    </font>
    <font>
      <strike/>
      <sz val="12.0"/>
      <color theme="1"/>
      <name val="Calibri"/>
    </font>
    <font>
      <strike/>
      <color theme="1"/>
      <name val="Arial"/>
    </font>
    <font>
      <color theme="1"/>
      <name val="Calibri"/>
    </font>
    <font>
      <sz val="12.0"/>
      <color rgb="FF4D4D4D"/>
      <name val="Calibri"/>
    </font>
    <font>
      <b/>
      <sz val="12.0"/>
      <color theme="1"/>
      <name val="Arial"/>
    </font>
    <font>
      <sz val="12.0"/>
      <color theme="1"/>
      <name val="Arial"/>
    </font>
    <font>
      <sz val="10.0"/>
      <color theme="1"/>
      <name val="Arial"/>
    </font>
    <font>
      <sz val="11.0"/>
      <color theme="1"/>
      <name val="Inconsolata"/>
    </font>
  </fonts>
  <fills count="16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EDEDE"/>
        <bgColor rgb="FFDEDEDE"/>
      </patternFill>
    </fill>
    <fill>
      <patternFill patternType="solid">
        <fgColor rgb="FFBDBDBD"/>
        <bgColor rgb="FFBDBDBD"/>
      </patternFill>
    </fill>
    <fill>
      <patternFill patternType="solid">
        <fgColor rgb="FF8BC34A"/>
        <bgColor rgb="FF8BC34A"/>
      </patternFill>
    </fill>
    <fill>
      <patternFill patternType="solid">
        <fgColor rgb="FFEEF7E3"/>
        <bgColor rgb="FFEEF7E3"/>
      </patternFill>
    </fill>
    <fill>
      <patternFill patternType="solid">
        <fgColor rgb="FFC4E2A0"/>
        <bgColor rgb="FFC4E2A0"/>
      </patternFill>
    </fill>
    <fill>
      <patternFill patternType="solid">
        <fgColor rgb="FFF46524"/>
        <bgColor rgb="FFF46524"/>
      </patternFill>
    </fill>
    <fill>
      <patternFill patternType="solid">
        <fgColor rgb="FFFFE6DD"/>
        <bgColor rgb="FFFFE6DD"/>
      </patternFill>
    </fill>
    <fill>
      <patternFill patternType="solid">
        <fgColor rgb="FFFFCCBC"/>
        <bgColor rgb="FFFFCCBC"/>
      </patternFill>
    </fill>
    <fill>
      <patternFill patternType="solid">
        <fgColor theme="0"/>
        <bgColor theme="0"/>
      </patternFill>
    </fill>
    <fill>
      <patternFill patternType="solid">
        <fgColor rgb="FFFAFAFA"/>
        <bgColor rgb="FFFAFAFA"/>
      </patternFill>
    </fill>
    <fill>
      <patternFill patternType="solid">
        <fgColor rgb="FFEFEFEF"/>
        <bgColor rgb="FFEFEFEF"/>
      </patternFill>
    </fill>
  </fills>
  <borders count="1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0" fontId="2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vertical="bottom"/>
    </xf>
    <xf borderId="3" fillId="0" fontId="1" numFmtId="0" xfId="0" applyAlignment="1" applyBorder="1" applyFont="1">
      <alignment vertical="bottom"/>
    </xf>
    <xf borderId="4" fillId="0" fontId="1" numFmtId="0" xfId="0" applyAlignment="1" applyBorder="1" applyFont="1">
      <alignment vertical="bottom"/>
    </xf>
    <xf borderId="5" fillId="0" fontId="1" numFmtId="0" xfId="0" applyAlignment="1" applyBorder="1" applyFont="1">
      <alignment vertical="bottom"/>
    </xf>
    <xf borderId="4" fillId="0" fontId="3" numFmtId="0" xfId="0" applyAlignment="1" applyBorder="1" applyFont="1">
      <alignment vertical="bottom"/>
    </xf>
    <xf borderId="0" fillId="0" fontId="4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6" numFmtId="164" xfId="0" applyAlignment="1" applyFont="1" applyNumberFormat="1">
      <alignment horizontal="right" vertical="bottom"/>
    </xf>
    <xf borderId="4" fillId="2" fontId="7" numFmtId="0" xfId="0" applyAlignment="1" applyBorder="1" applyFill="1" applyFont="1">
      <alignment vertical="bottom"/>
    </xf>
    <xf borderId="0" fillId="2" fontId="7" numFmtId="0" xfId="0" applyAlignment="1" applyFont="1">
      <alignment vertical="bottom"/>
    </xf>
    <xf borderId="5" fillId="2" fontId="7" numFmtId="0" xfId="0" applyAlignment="1" applyBorder="1" applyFont="1">
      <alignment vertical="bottom"/>
    </xf>
    <xf borderId="4" fillId="3" fontId="6" numFmtId="0" xfId="0" applyAlignment="1" applyBorder="1" applyFill="1" applyFont="1">
      <alignment vertical="bottom"/>
    </xf>
    <xf borderId="0" fillId="3" fontId="6" numFmtId="164" xfId="0" applyAlignment="1" applyFont="1" applyNumberFormat="1">
      <alignment horizontal="right" vertical="bottom"/>
    </xf>
    <xf borderId="0" fillId="3" fontId="1" numFmtId="0" xfId="0" applyAlignment="1" applyFont="1">
      <alignment vertical="bottom"/>
    </xf>
    <xf borderId="5" fillId="3" fontId="1" numFmtId="0" xfId="0" applyAlignment="1" applyBorder="1" applyFont="1">
      <alignment vertical="bottom"/>
    </xf>
    <xf borderId="4" fillId="4" fontId="6" numFmtId="0" xfId="0" applyAlignment="1" applyBorder="1" applyFill="1" applyFont="1">
      <alignment vertical="bottom"/>
    </xf>
    <xf borderId="0" fillId="4" fontId="6" numFmtId="164" xfId="0" applyAlignment="1" applyFont="1" applyNumberFormat="1">
      <alignment horizontal="right" vertical="bottom"/>
    </xf>
    <xf borderId="0" fillId="4" fontId="1" numFmtId="0" xfId="0" applyAlignment="1" applyFont="1">
      <alignment vertical="bottom"/>
    </xf>
    <xf borderId="5" fillId="4" fontId="1" numFmtId="0" xfId="0" applyAlignment="1" applyBorder="1" applyFont="1">
      <alignment vertical="bottom"/>
    </xf>
    <xf borderId="6" fillId="5" fontId="5" numFmtId="0" xfId="0" applyAlignment="1" applyBorder="1" applyFill="1" applyFont="1">
      <alignment vertical="bottom"/>
    </xf>
    <xf borderId="7" fillId="5" fontId="5" numFmtId="164" xfId="0" applyAlignment="1" applyBorder="1" applyFont="1" applyNumberFormat="1">
      <alignment horizontal="right" vertical="bottom"/>
    </xf>
    <xf borderId="7" fillId="5" fontId="1" numFmtId="0" xfId="0" applyAlignment="1" applyBorder="1" applyFont="1">
      <alignment vertical="bottom"/>
    </xf>
    <xf borderId="8" fillId="5" fontId="1" numFmtId="0" xfId="0" applyAlignment="1" applyBorder="1" applyFont="1">
      <alignment vertical="bottom"/>
    </xf>
    <xf borderId="0" fillId="0" fontId="1" numFmtId="0" xfId="0" applyFont="1"/>
    <xf borderId="1" fillId="0" fontId="8" numFmtId="0" xfId="0" applyAlignment="1" applyBorder="1" applyFont="1">
      <alignment vertical="bottom"/>
    </xf>
    <xf borderId="4" fillId="6" fontId="7" numFmtId="0" xfId="0" applyAlignment="1" applyBorder="1" applyFill="1" applyFont="1">
      <alignment vertical="bottom"/>
    </xf>
    <xf borderId="0" fillId="6" fontId="1" numFmtId="0" xfId="0" applyAlignment="1" applyFont="1">
      <alignment vertical="bottom"/>
    </xf>
    <xf borderId="0" fillId="6" fontId="7" numFmtId="0" xfId="0" applyAlignment="1" applyFont="1">
      <alignment vertical="bottom"/>
    </xf>
    <xf borderId="4" fillId="5" fontId="5" numFmtId="0" xfId="0" applyAlignment="1" applyBorder="1" applyFont="1">
      <alignment vertical="bottom"/>
    </xf>
    <xf borderId="0" fillId="5" fontId="1" numFmtId="0" xfId="0" applyAlignment="1" applyFont="1">
      <alignment vertical="bottom"/>
    </xf>
    <xf borderId="0" fillId="5" fontId="5" numFmtId="164" xfId="0" applyAlignment="1" applyFont="1" applyNumberFormat="1">
      <alignment horizontal="right" vertical="bottom"/>
    </xf>
    <xf borderId="0" fillId="0" fontId="1" numFmtId="164" xfId="0" applyAlignment="1" applyFont="1" applyNumberFormat="1">
      <alignment vertical="bottom"/>
    </xf>
    <xf borderId="4" fillId="0" fontId="9" numFmtId="0" xfId="0" applyAlignment="1" applyBorder="1" applyFont="1">
      <alignment shrinkToFit="0" vertical="bottom" wrapText="0"/>
    </xf>
    <xf borderId="4" fillId="7" fontId="7" numFmtId="0" xfId="0" applyAlignment="1" applyBorder="1" applyFill="1" applyFont="1">
      <alignment vertical="bottom"/>
    </xf>
    <xf borderId="0" fillId="7" fontId="1" numFmtId="0" xfId="0" applyAlignment="1" applyFont="1">
      <alignment vertical="bottom"/>
    </xf>
    <xf borderId="0" fillId="7" fontId="7" numFmtId="0" xfId="0" applyAlignment="1" applyFont="1">
      <alignment vertical="bottom"/>
    </xf>
    <xf borderId="4" fillId="8" fontId="6" numFmtId="0" xfId="0" applyAlignment="1" applyBorder="1" applyFill="1" applyFont="1">
      <alignment vertical="bottom"/>
    </xf>
    <xf borderId="0" fillId="8" fontId="1" numFmtId="0" xfId="0" applyAlignment="1" applyFont="1">
      <alignment vertical="bottom"/>
    </xf>
    <xf borderId="0" fillId="8" fontId="6" numFmtId="164" xfId="0" applyAlignment="1" applyFont="1" applyNumberFormat="1">
      <alignment horizontal="right" readingOrder="0" vertical="bottom"/>
    </xf>
    <xf borderId="0" fillId="8" fontId="6" numFmtId="0" xfId="0" applyAlignment="1" applyFont="1">
      <alignment vertical="bottom"/>
    </xf>
    <xf borderId="0" fillId="8" fontId="6" numFmtId="164" xfId="0" applyAlignment="1" applyFont="1" applyNumberFormat="1">
      <alignment horizontal="right" vertical="bottom"/>
    </xf>
    <xf borderId="4" fillId="3" fontId="6" numFmtId="0" xfId="0" applyAlignment="1" applyBorder="1" applyFont="1">
      <alignment shrinkToFit="0" vertical="bottom" wrapText="0"/>
    </xf>
    <xf borderId="4" fillId="9" fontId="5" numFmtId="0" xfId="0" applyAlignment="1" applyBorder="1" applyFill="1" applyFont="1">
      <alignment vertical="bottom"/>
    </xf>
    <xf borderId="0" fillId="9" fontId="1" numFmtId="0" xfId="0" applyAlignment="1" applyFont="1">
      <alignment vertical="bottom"/>
    </xf>
    <xf borderId="0" fillId="9" fontId="5" numFmtId="164" xfId="0" applyAlignment="1" applyFont="1" applyNumberFormat="1">
      <alignment horizontal="right" vertical="bottom"/>
    </xf>
    <xf borderId="5" fillId="7" fontId="7" numFmtId="0" xfId="0" applyAlignment="1" applyBorder="1" applyFont="1">
      <alignment vertical="bottom"/>
    </xf>
    <xf borderId="0" fillId="3" fontId="6" numFmtId="0" xfId="0" applyAlignment="1" applyFont="1">
      <alignment horizontal="right" vertical="bottom"/>
    </xf>
    <xf borderId="0" fillId="3" fontId="6" numFmtId="164" xfId="0" applyAlignment="1" applyFont="1" applyNumberFormat="1">
      <alignment horizontal="right" readingOrder="0" vertical="bottom"/>
    </xf>
    <xf borderId="0" fillId="8" fontId="6" numFmtId="0" xfId="0" applyAlignment="1" applyFont="1">
      <alignment horizontal="right" vertical="bottom"/>
    </xf>
    <xf borderId="5" fillId="8" fontId="6" numFmtId="0" xfId="0" applyAlignment="1" applyBorder="1" applyFont="1">
      <alignment vertical="bottom"/>
    </xf>
    <xf borderId="0" fillId="9" fontId="1" numFmtId="164" xfId="0" applyAlignment="1" applyFont="1" applyNumberFormat="1">
      <alignment vertical="bottom"/>
    </xf>
    <xf borderId="5" fillId="9" fontId="1" numFmtId="0" xfId="0" applyAlignment="1" applyBorder="1" applyFont="1">
      <alignment vertical="bottom"/>
    </xf>
    <xf borderId="5" fillId="3" fontId="6" numFmtId="0" xfId="0" applyAlignment="1" applyBorder="1" applyFont="1">
      <alignment shrinkToFit="0" vertical="bottom" wrapText="0"/>
    </xf>
    <xf borderId="5" fillId="8" fontId="1" numFmtId="0" xfId="0" applyAlignment="1" applyBorder="1" applyFont="1">
      <alignment vertical="bottom"/>
    </xf>
    <xf borderId="4" fillId="10" fontId="7" numFmtId="0" xfId="0" applyAlignment="1" applyBorder="1" applyFill="1" applyFont="1">
      <alignment vertical="bottom"/>
    </xf>
    <xf borderId="0" fillId="10" fontId="1" numFmtId="0" xfId="0" applyAlignment="1" applyFont="1">
      <alignment vertical="bottom"/>
    </xf>
    <xf borderId="0" fillId="10" fontId="7" numFmtId="0" xfId="0" applyAlignment="1" applyFont="1">
      <alignment vertical="bottom"/>
    </xf>
    <xf borderId="5" fillId="10" fontId="7" numFmtId="0" xfId="0" applyAlignment="1" applyBorder="1" applyFont="1">
      <alignment vertical="bottom"/>
    </xf>
    <xf borderId="4" fillId="11" fontId="6" numFmtId="0" xfId="0" applyAlignment="1" applyBorder="1" applyFill="1" applyFont="1">
      <alignment vertical="bottom"/>
    </xf>
    <xf borderId="0" fillId="11" fontId="1" numFmtId="0" xfId="0" applyAlignment="1" applyFont="1">
      <alignment vertical="bottom"/>
    </xf>
    <xf borderId="0" fillId="11" fontId="6" numFmtId="0" xfId="0" applyAlignment="1" applyFont="1">
      <alignment horizontal="right" vertical="bottom"/>
    </xf>
    <xf borderId="0" fillId="11" fontId="6" numFmtId="164" xfId="0" applyAlignment="1" applyFont="1" applyNumberFormat="1">
      <alignment horizontal="right" vertical="bottom"/>
    </xf>
    <xf borderId="5" fillId="11" fontId="1" numFmtId="0" xfId="0" applyAlignment="1" applyBorder="1" applyFont="1">
      <alignment vertical="bottom"/>
    </xf>
    <xf borderId="0" fillId="3" fontId="1" numFmtId="164" xfId="0" applyAlignment="1" applyFont="1" applyNumberFormat="1">
      <alignment vertical="bottom"/>
    </xf>
    <xf borderId="0" fillId="11" fontId="1" numFmtId="164" xfId="0" applyAlignment="1" applyFont="1" applyNumberFormat="1">
      <alignment vertical="bottom"/>
    </xf>
    <xf borderId="0" fillId="11" fontId="1" numFmtId="0" xfId="0" applyFont="1"/>
    <xf borderId="4" fillId="11" fontId="6" numFmtId="0" xfId="0" applyAlignment="1" applyBorder="1" applyFont="1">
      <alignment shrinkToFit="0" vertical="bottom" wrapText="0"/>
    </xf>
    <xf borderId="6" fillId="12" fontId="5" numFmtId="0" xfId="0" applyAlignment="1" applyBorder="1" applyFill="1" applyFont="1">
      <alignment vertical="bottom"/>
    </xf>
    <xf borderId="7" fillId="12" fontId="1" numFmtId="0" xfId="0" applyAlignment="1" applyBorder="1" applyFont="1">
      <alignment vertical="bottom"/>
    </xf>
    <xf borderId="7" fillId="12" fontId="1" numFmtId="164" xfId="0" applyAlignment="1" applyBorder="1" applyFont="1" applyNumberFormat="1">
      <alignment vertical="bottom"/>
    </xf>
    <xf borderId="7" fillId="12" fontId="5" numFmtId="164" xfId="0" applyAlignment="1" applyBorder="1" applyFont="1" applyNumberFormat="1">
      <alignment horizontal="right" vertical="bottom"/>
    </xf>
    <xf borderId="8" fillId="12" fontId="1" numFmtId="0" xfId="0" applyAlignment="1" applyBorder="1" applyFont="1">
      <alignment vertical="bottom"/>
    </xf>
    <xf borderId="1" fillId="0" fontId="9" numFmtId="0" xfId="0" applyAlignment="1" applyBorder="1" applyFont="1">
      <alignment vertical="bottom"/>
    </xf>
    <xf borderId="5" fillId="0" fontId="4" numFmtId="0" xfId="0" applyAlignment="1" applyBorder="1" applyFont="1">
      <alignment vertical="bottom"/>
    </xf>
    <xf borderId="5" fillId="10" fontId="1" numFmtId="0" xfId="0" applyAlignment="1" applyBorder="1" applyFont="1">
      <alignment vertical="bottom"/>
    </xf>
    <xf borderId="0" fillId="3" fontId="10" numFmtId="164" xfId="0" applyAlignment="1" applyFont="1" applyNumberFormat="1">
      <alignment horizontal="right" shrinkToFit="0" vertical="top" wrapText="0"/>
    </xf>
    <xf borderId="0" fillId="11" fontId="11" numFmtId="164" xfId="0" applyFont="1" applyNumberFormat="1"/>
    <xf borderId="8" fillId="12" fontId="6" numFmtId="0" xfId="0" applyAlignment="1" applyBorder="1" applyFont="1">
      <alignment shrinkToFit="0" vertical="bottom" wrapText="0"/>
    </xf>
    <xf borderId="9" fillId="0" fontId="8" numFmtId="0" xfId="0" applyAlignment="1" applyBorder="1" applyFont="1">
      <alignment vertical="bottom"/>
    </xf>
    <xf borderId="10" fillId="0" fontId="1" numFmtId="0" xfId="0" applyAlignment="1" applyBorder="1" applyFont="1">
      <alignment vertical="bottom"/>
    </xf>
    <xf borderId="11" fillId="0" fontId="1" numFmtId="0" xfId="0" applyAlignment="1" applyBorder="1" applyFont="1">
      <alignment vertical="bottom"/>
    </xf>
    <xf borderId="12" fillId="0" fontId="1" numFmtId="0" xfId="0" applyAlignment="1" applyBorder="1" applyFont="1">
      <alignment vertical="bottom"/>
    </xf>
    <xf borderId="13" fillId="0" fontId="1" numFmtId="0" xfId="0" applyAlignment="1" applyBorder="1" applyFont="1">
      <alignment vertical="bottom"/>
    </xf>
    <xf borderId="12" fillId="0" fontId="2" numFmtId="0" xfId="0" applyAlignment="1" applyBorder="1" applyFont="1">
      <alignment shrinkToFit="0" vertical="bottom" wrapText="0"/>
    </xf>
    <xf borderId="12" fillId="0" fontId="3" numFmtId="0" xfId="0" applyAlignment="1" applyBorder="1" applyFont="1">
      <alignment vertical="bottom"/>
    </xf>
    <xf borderId="13" fillId="0" fontId="4" numFmtId="0" xfId="0" applyAlignment="1" applyBorder="1" applyFont="1">
      <alignment vertical="bottom"/>
    </xf>
    <xf borderId="12" fillId="6" fontId="7" numFmtId="0" xfId="0" applyAlignment="1" applyBorder="1" applyFont="1">
      <alignment vertical="bottom"/>
    </xf>
    <xf borderId="13" fillId="6" fontId="1" numFmtId="0" xfId="0" applyAlignment="1" applyBorder="1" applyFont="1">
      <alignment vertical="bottom"/>
    </xf>
    <xf borderId="12" fillId="3" fontId="6" numFmtId="0" xfId="0" applyAlignment="1" applyBorder="1" applyFont="1">
      <alignment vertical="bottom"/>
    </xf>
    <xf borderId="13" fillId="3" fontId="1" numFmtId="0" xfId="0" applyAlignment="1" applyBorder="1" applyFont="1">
      <alignment vertical="bottom"/>
    </xf>
    <xf borderId="14" fillId="5" fontId="5" numFmtId="0" xfId="0" applyAlignment="1" applyBorder="1" applyFont="1">
      <alignment vertical="bottom"/>
    </xf>
    <xf borderId="15" fillId="5" fontId="5" numFmtId="164" xfId="0" applyAlignment="1" applyBorder="1" applyFont="1" applyNumberFormat="1">
      <alignment horizontal="right" vertical="bottom"/>
    </xf>
    <xf borderId="15" fillId="5" fontId="1" numFmtId="0" xfId="0" applyAlignment="1" applyBorder="1" applyFont="1">
      <alignment vertical="bottom"/>
    </xf>
    <xf borderId="16" fillId="5" fontId="1" numFmtId="0" xfId="0" applyAlignment="1" applyBorder="1" applyFont="1">
      <alignment vertical="bottom"/>
    </xf>
    <xf borderId="9" fillId="0" fontId="2" numFmtId="0" xfId="0" applyAlignment="1" applyBorder="1" applyFont="1">
      <alignment vertical="bottom"/>
    </xf>
    <xf borderId="12" fillId="10" fontId="7" numFmtId="0" xfId="0" applyAlignment="1" applyBorder="1" applyFont="1">
      <alignment vertical="bottom"/>
    </xf>
    <xf borderId="13" fillId="10" fontId="1" numFmtId="0" xfId="0" applyAlignment="1" applyBorder="1" applyFont="1">
      <alignment vertical="bottom"/>
    </xf>
    <xf borderId="12" fillId="11" fontId="6" numFmtId="0" xfId="0" applyAlignment="1" applyBorder="1" applyFont="1">
      <alignment vertical="bottom"/>
    </xf>
    <xf borderId="13" fillId="11" fontId="1" numFmtId="0" xfId="0" applyAlignment="1" applyBorder="1" applyFont="1">
      <alignment vertical="bottom"/>
    </xf>
    <xf borderId="14" fillId="12" fontId="5" numFmtId="0" xfId="0" applyAlignment="1" applyBorder="1" applyFont="1">
      <alignment vertical="bottom"/>
    </xf>
    <xf borderId="15" fillId="12" fontId="5" numFmtId="164" xfId="0" applyAlignment="1" applyBorder="1" applyFont="1" applyNumberFormat="1">
      <alignment horizontal="right" vertical="bottom"/>
    </xf>
    <xf borderId="15" fillId="12" fontId="1" numFmtId="0" xfId="0" applyAlignment="1" applyBorder="1" applyFont="1">
      <alignment vertical="bottom"/>
    </xf>
    <xf borderId="16" fillId="12" fontId="1" numFmtId="0" xfId="0" applyAlignment="1" applyBorder="1" applyFont="1">
      <alignment vertical="bottom"/>
    </xf>
    <xf borderId="0" fillId="10" fontId="7" numFmtId="164" xfId="0" applyAlignment="1" applyFont="1" applyNumberFormat="1">
      <alignment vertical="bottom"/>
    </xf>
    <xf borderId="12" fillId="4" fontId="6" numFmtId="0" xfId="0" applyAlignment="1" applyBorder="1" applyFont="1">
      <alignment vertical="bottom"/>
    </xf>
    <xf borderId="13" fillId="4" fontId="1" numFmtId="0" xfId="0" applyAlignment="1" applyBorder="1" applyFont="1">
      <alignment vertical="bottom"/>
    </xf>
    <xf borderId="13" fillId="11" fontId="6" numFmtId="0" xfId="0" applyAlignment="1" applyBorder="1" applyFont="1">
      <alignment vertical="bottom"/>
    </xf>
    <xf borderId="12" fillId="3" fontId="6" numFmtId="0" xfId="0" applyAlignment="1" applyBorder="1" applyFont="1">
      <alignment shrinkToFit="0" vertical="bottom" wrapText="0"/>
    </xf>
    <xf borderId="13" fillId="3" fontId="6" numFmtId="0" xfId="0" applyAlignment="1" applyBorder="1" applyFont="1">
      <alignment vertical="bottom"/>
    </xf>
    <xf borderId="12" fillId="0" fontId="4" numFmtId="0" xfId="0" applyAlignment="1" applyBorder="1" applyFont="1">
      <alignment vertical="bottom"/>
    </xf>
    <xf borderId="12" fillId="4" fontId="6" numFmtId="0" xfId="0" applyAlignment="1" applyBorder="1" applyFont="1">
      <alignment shrinkToFit="0" vertical="bottom" wrapText="0"/>
    </xf>
    <xf borderId="13" fillId="3" fontId="12" numFmtId="0" xfId="0" applyAlignment="1" applyBorder="1" applyFont="1">
      <alignment vertical="bottom"/>
    </xf>
    <xf borderId="10" fillId="0" fontId="13" numFmtId="0" xfId="0" applyBorder="1" applyFont="1"/>
    <xf borderId="12" fillId="5" fontId="5" numFmtId="0" xfId="0" applyAlignment="1" applyBorder="1" applyFont="1">
      <alignment vertical="bottom"/>
    </xf>
    <xf borderId="0" fillId="5" fontId="6" numFmtId="164" xfId="0" applyAlignment="1" applyFont="1" applyNumberFormat="1">
      <alignment horizontal="right" vertical="bottom"/>
    </xf>
    <xf borderId="12" fillId="7" fontId="7" numFmtId="0" xfId="0" applyAlignment="1" applyBorder="1" applyFont="1">
      <alignment vertical="bottom"/>
    </xf>
    <xf borderId="12" fillId="9" fontId="5" numFmtId="0" xfId="0" applyAlignment="1" applyBorder="1" applyFont="1">
      <alignment vertical="bottom"/>
    </xf>
    <xf borderId="13" fillId="3" fontId="6" numFmtId="0" xfId="0" applyAlignment="1" applyBorder="1" applyFont="1">
      <alignment shrinkToFit="0" vertical="bottom" wrapText="1"/>
    </xf>
    <xf borderId="12" fillId="0" fontId="1" numFmtId="0" xfId="0" applyBorder="1" applyFont="1"/>
    <xf borderId="13" fillId="0" fontId="1" numFmtId="0" xfId="0" applyBorder="1" applyFont="1"/>
    <xf borderId="13" fillId="7" fontId="1" numFmtId="0" xfId="0" applyAlignment="1" applyBorder="1" applyFont="1">
      <alignment vertical="bottom"/>
    </xf>
    <xf borderId="12" fillId="8" fontId="6" numFmtId="0" xfId="0" applyAlignment="1" applyBorder="1" applyFont="1">
      <alignment vertical="bottom"/>
    </xf>
    <xf borderId="13" fillId="8" fontId="1" numFmtId="0" xfId="0" applyAlignment="1" applyBorder="1" applyFont="1">
      <alignment vertical="bottom"/>
    </xf>
    <xf borderId="13" fillId="9" fontId="1" numFmtId="0" xfId="0" applyAlignment="1" applyBorder="1" applyFont="1">
      <alignment vertical="bottom"/>
    </xf>
    <xf borderId="12" fillId="13" fontId="6" numFmtId="0" xfId="0" applyAlignment="1" applyBorder="1" applyFill="1" applyFont="1">
      <alignment vertical="bottom"/>
    </xf>
    <xf borderId="0" fillId="13" fontId="1" numFmtId="0" xfId="0" applyAlignment="1" applyFont="1">
      <alignment vertical="bottom"/>
    </xf>
    <xf borderId="0" fillId="13" fontId="6" numFmtId="0" xfId="0" applyAlignment="1" applyFont="1">
      <alignment horizontal="right" vertical="bottom"/>
    </xf>
    <xf borderId="0" fillId="13" fontId="6" numFmtId="164" xfId="0" applyAlignment="1" applyFont="1" applyNumberFormat="1">
      <alignment horizontal="right" vertical="bottom"/>
    </xf>
    <xf borderId="13" fillId="13" fontId="6" numFmtId="0" xfId="0" applyAlignment="1" applyBorder="1" applyFont="1">
      <alignment vertical="bottom"/>
    </xf>
    <xf borderId="15" fillId="12" fontId="1" numFmtId="164" xfId="0" applyAlignment="1" applyBorder="1" applyFont="1" applyNumberFormat="1">
      <alignment vertical="bottom"/>
    </xf>
    <xf borderId="4" fillId="0" fontId="2" numFmtId="0" xfId="0" applyAlignment="1" applyBorder="1" applyFont="1">
      <alignment shrinkToFit="0" vertical="bottom" wrapText="0"/>
    </xf>
    <xf borderId="5" fillId="6" fontId="1" numFmtId="0" xfId="0" applyAlignment="1" applyBorder="1" applyFont="1">
      <alignment vertical="bottom"/>
    </xf>
    <xf borderId="4" fillId="0" fontId="3" numFmtId="0" xfId="0" applyAlignment="1" applyBorder="1" applyFont="1">
      <alignment shrinkToFit="0" vertical="bottom" wrapText="0"/>
    </xf>
    <xf borderId="5" fillId="7" fontId="1" numFmtId="0" xfId="0" applyAlignment="1" applyBorder="1" applyFont="1">
      <alignment vertical="bottom"/>
    </xf>
    <xf quotePrefix="1" borderId="0" fillId="0" fontId="1" numFmtId="0" xfId="0" applyAlignment="1" applyFont="1">
      <alignment vertical="bottom"/>
    </xf>
    <xf borderId="0" fillId="3" fontId="14" numFmtId="0" xfId="0" applyFont="1"/>
    <xf borderId="0" fillId="3" fontId="6" numFmtId="3" xfId="0" applyAlignment="1" applyFont="1" applyNumberFormat="1">
      <alignment horizontal="right" vertical="bottom"/>
    </xf>
    <xf borderId="0" fillId="11" fontId="6" numFmtId="3" xfId="0" applyAlignment="1" applyFont="1" applyNumberFormat="1">
      <alignment horizontal="right" vertical="bottom"/>
    </xf>
    <xf borderId="4" fillId="13" fontId="6" numFmtId="0" xfId="0" applyAlignment="1" applyBorder="1" applyFont="1">
      <alignment shrinkToFit="0" vertical="bottom" wrapText="0"/>
    </xf>
    <xf borderId="0" fillId="13" fontId="6" numFmtId="3" xfId="0" applyAlignment="1" applyFont="1" applyNumberFormat="1">
      <alignment horizontal="right" vertical="bottom"/>
    </xf>
    <xf borderId="5" fillId="13" fontId="1" numFmtId="0" xfId="0" applyAlignment="1" applyBorder="1" applyFont="1">
      <alignment vertical="bottom"/>
    </xf>
    <xf borderId="4" fillId="13" fontId="6" numFmtId="0" xfId="0" applyAlignment="1" applyBorder="1" applyFont="1">
      <alignment vertical="bottom"/>
    </xf>
    <xf borderId="4" fillId="12" fontId="5" numFmtId="0" xfId="0" applyAlignment="1" applyBorder="1" applyFont="1">
      <alignment vertical="bottom"/>
    </xf>
    <xf borderId="0" fillId="12" fontId="1" numFmtId="0" xfId="0" applyAlignment="1" applyFont="1">
      <alignment vertical="bottom"/>
    </xf>
    <xf borderId="0" fillId="12" fontId="1" numFmtId="164" xfId="0" applyAlignment="1" applyFont="1" applyNumberFormat="1">
      <alignment vertical="bottom"/>
    </xf>
    <xf borderId="0" fillId="12" fontId="5" numFmtId="164" xfId="0" applyAlignment="1" applyFont="1" applyNumberFormat="1">
      <alignment horizontal="right" vertical="bottom"/>
    </xf>
    <xf borderId="5" fillId="12" fontId="1" numFmtId="0" xfId="0" applyAlignment="1" applyBorder="1" applyFont="1">
      <alignment vertical="bottom"/>
    </xf>
    <xf borderId="5" fillId="3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0" fillId="3" fontId="6" numFmtId="0" xfId="0" applyAlignment="1" applyFont="1">
      <alignment horizontal="right" readingOrder="0" vertical="bottom"/>
    </xf>
    <xf borderId="0" fillId="8" fontId="6" numFmtId="0" xfId="0" applyAlignment="1" applyFont="1">
      <alignment horizontal="right" readingOrder="0" vertical="bottom"/>
    </xf>
    <xf borderId="0" fillId="3" fontId="6" numFmtId="0" xfId="0" applyAlignment="1" applyFont="1">
      <alignment shrinkToFit="0" vertical="bottom" wrapText="0"/>
    </xf>
    <xf borderId="0" fillId="11" fontId="6" numFmtId="0" xfId="0" applyAlignment="1" applyFont="1">
      <alignment shrinkToFit="0" vertical="bottom" wrapText="0"/>
    </xf>
    <xf borderId="0" fillId="11" fontId="6" numFmtId="0" xfId="0" applyAlignment="1" applyFont="1">
      <alignment vertical="bottom"/>
    </xf>
    <xf borderId="0" fillId="3" fontId="6" numFmtId="0" xfId="0" applyAlignment="1" applyFont="1">
      <alignment vertical="bottom"/>
    </xf>
    <xf borderId="9" fillId="0" fontId="2" numFmtId="0" xfId="0" applyAlignment="1" applyBorder="1" applyFont="1">
      <alignment shrinkToFit="0" vertical="bottom" wrapText="0"/>
    </xf>
    <xf borderId="13" fillId="11" fontId="6" numFmtId="0" xfId="0" applyAlignment="1" applyBorder="1" applyFont="1">
      <alignment shrinkToFit="0" vertical="bottom" wrapText="0"/>
    </xf>
    <xf borderId="0" fillId="0" fontId="15" numFmtId="0" xfId="0" applyFont="1"/>
    <xf borderId="0" fillId="11" fontId="6" numFmtId="0" xfId="0" applyAlignment="1" applyFont="1">
      <alignment horizontal="right" readingOrder="0" vertical="bottom"/>
    </xf>
    <xf borderId="13" fillId="3" fontId="6" numFmtId="0" xfId="0" applyAlignment="1" applyBorder="1" applyFont="1">
      <alignment shrinkToFit="0" vertical="bottom" wrapText="0"/>
    </xf>
    <xf borderId="12" fillId="11" fontId="1" numFmtId="0" xfId="0" applyAlignment="1" applyBorder="1" applyFont="1">
      <alignment vertical="bottom"/>
    </xf>
    <xf borderId="4" fillId="4" fontId="6" numFmtId="0" xfId="0" applyAlignment="1" applyBorder="1" applyFont="1">
      <alignment shrinkToFit="0" vertical="bottom" wrapText="0"/>
    </xf>
    <xf borderId="4" fillId="8" fontId="16" numFmtId="0" xfId="0" applyAlignment="1" applyBorder="1" applyFont="1">
      <alignment vertical="bottom"/>
    </xf>
    <xf borderId="0" fillId="8" fontId="17" numFmtId="0" xfId="0" applyAlignment="1" applyFont="1">
      <alignment vertical="bottom"/>
    </xf>
    <xf borderId="0" fillId="8" fontId="16" numFmtId="0" xfId="0" applyAlignment="1" applyFont="1">
      <alignment horizontal="right" vertical="bottom"/>
    </xf>
    <xf borderId="0" fillId="8" fontId="16" numFmtId="164" xfId="0" applyAlignment="1" applyFont="1" applyNumberFormat="1">
      <alignment horizontal="right" vertical="bottom"/>
    </xf>
    <xf borderId="5" fillId="8" fontId="17" numFmtId="0" xfId="0" applyAlignment="1" applyBorder="1" applyFont="1">
      <alignment vertical="bottom"/>
    </xf>
    <xf borderId="5" fillId="3" fontId="6" numFmtId="0" xfId="0" applyAlignment="1" applyBorder="1" applyFont="1">
      <alignment vertical="bottom"/>
    </xf>
    <xf borderId="5" fillId="11" fontId="6" numFmtId="0" xfId="0" applyAlignment="1" applyBorder="1" applyFont="1">
      <alignment shrinkToFit="0" vertical="bottom" wrapText="0"/>
    </xf>
    <xf borderId="0" fillId="4" fontId="1" numFmtId="164" xfId="0" applyAlignment="1" applyFont="1" applyNumberFormat="1">
      <alignment vertical="bottom"/>
    </xf>
    <xf borderId="0" fillId="10" fontId="1" numFmtId="164" xfId="0" applyAlignment="1" applyFont="1" applyNumberFormat="1">
      <alignment vertical="bottom"/>
    </xf>
    <xf borderId="5" fillId="0" fontId="1" numFmtId="165" xfId="0" applyAlignment="1" applyBorder="1" applyFont="1" applyNumberFormat="1">
      <alignment vertical="bottom"/>
    </xf>
    <xf borderId="0" fillId="11" fontId="1" numFmtId="0" xfId="0" applyAlignment="1" applyFont="1">
      <alignment shrinkToFit="0" vertical="bottom" wrapText="1"/>
    </xf>
    <xf borderId="4" fillId="0" fontId="1" numFmtId="0" xfId="0" applyBorder="1" applyFont="1"/>
    <xf borderId="5" fillId="0" fontId="1" numFmtId="0" xfId="0" applyBorder="1" applyFont="1"/>
    <xf borderId="0" fillId="0" fontId="18" numFmtId="0" xfId="0" applyAlignment="1" applyFont="1">
      <alignment vertical="bottom"/>
    </xf>
    <xf borderId="2" fillId="0" fontId="13" numFmtId="0" xfId="0" applyBorder="1" applyFont="1"/>
    <xf borderId="4" fillId="0" fontId="4" numFmtId="0" xfId="0" applyAlignment="1" applyBorder="1" applyFont="1">
      <alignment vertical="bottom"/>
    </xf>
    <xf borderId="0" fillId="13" fontId="5" numFmtId="164" xfId="0" applyAlignment="1" applyFont="1" applyNumberFormat="1">
      <alignment horizontal="right" vertical="bottom"/>
    </xf>
    <xf borderId="5" fillId="13" fontId="6" numFmtId="0" xfId="0" applyAlignment="1" applyBorder="1" applyFont="1">
      <alignment shrinkToFit="0" vertical="bottom" wrapText="0"/>
    </xf>
    <xf borderId="5" fillId="11" fontId="6" numFmtId="0" xfId="0" applyAlignment="1" applyBorder="1" applyFont="1">
      <alignment vertical="bottom"/>
    </xf>
    <xf borderId="0" fillId="13" fontId="1" numFmtId="164" xfId="0" applyAlignment="1" applyFont="1" applyNumberFormat="1">
      <alignment vertical="bottom"/>
    </xf>
    <xf borderId="17" fillId="14" fontId="19" numFmtId="0" xfId="0" applyAlignment="1" applyBorder="1" applyFill="1" applyFont="1">
      <alignment horizontal="right" shrinkToFit="0" vertical="top" wrapText="0"/>
    </xf>
    <xf borderId="0" fillId="8" fontId="19" numFmtId="0" xfId="0" applyFont="1"/>
    <xf borderId="0" fillId="11" fontId="6" numFmtId="164" xfId="0" applyAlignment="1" applyFont="1" applyNumberFormat="1">
      <alignment vertical="bottom"/>
    </xf>
    <xf borderId="7" fillId="12" fontId="6" numFmtId="0" xfId="0" applyAlignment="1" applyBorder="1" applyFont="1">
      <alignment vertical="bottom"/>
    </xf>
    <xf borderId="7" fillId="12" fontId="6" numFmtId="164" xfId="0" applyAlignment="1" applyBorder="1" applyFont="1" applyNumberFormat="1">
      <alignment vertical="bottom"/>
    </xf>
    <xf borderId="8" fillId="12" fontId="6" numFmtId="0" xfId="0" applyAlignment="1" applyBorder="1" applyFont="1">
      <alignment vertical="bottom"/>
    </xf>
    <xf borderId="1" fillId="0" fontId="1" numFmtId="0" xfId="0" applyAlignment="1" applyBorder="1" applyFont="1">
      <alignment vertical="bottom"/>
    </xf>
    <xf borderId="4" fillId="0" fontId="2" numFmtId="0" xfId="0" applyAlignment="1" applyBorder="1" applyFont="1">
      <alignment vertical="bottom"/>
    </xf>
    <xf borderId="4" fillId="15" fontId="6" numFmtId="0" xfId="0" applyAlignment="1" applyBorder="1" applyFill="1" applyFont="1">
      <alignment vertical="bottom"/>
    </xf>
    <xf borderId="0" fillId="15" fontId="1" numFmtId="0" xfId="0" applyAlignment="1" applyFont="1">
      <alignment vertical="bottom"/>
    </xf>
    <xf borderId="0" fillId="15" fontId="6" numFmtId="164" xfId="0" applyAlignment="1" applyFont="1" applyNumberFormat="1">
      <alignment horizontal="right" vertical="bottom"/>
    </xf>
    <xf borderId="6" fillId="9" fontId="5" numFmtId="0" xfId="0" applyAlignment="1" applyBorder="1" applyFont="1">
      <alignment vertical="bottom"/>
    </xf>
    <xf borderId="7" fillId="9" fontId="1" numFmtId="0" xfId="0" applyAlignment="1" applyBorder="1" applyFont="1">
      <alignment vertical="bottom"/>
    </xf>
    <xf borderId="7" fillId="9" fontId="1" numFmtId="164" xfId="0" applyAlignment="1" applyBorder="1" applyFont="1" applyNumberFormat="1">
      <alignment vertical="bottom"/>
    </xf>
    <xf borderId="7" fillId="9" fontId="5" numFmtId="164" xfId="0" applyAlignment="1" applyBorder="1" applyFont="1" applyNumberFormat="1">
      <alignment horizontal="right" vertical="bottom"/>
    </xf>
    <xf borderId="8" fillId="9" fontId="1" numFmtId="0" xfId="0" applyAlignment="1" applyBorder="1" applyFont="1">
      <alignment vertical="bottom"/>
    </xf>
    <xf borderId="0" fillId="13" fontId="20" numFmtId="0" xfId="0" applyAlignment="1" applyFont="1">
      <alignment vertical="bottom"/>
    </xf>
    <xf borderId="0" fillId="13" fontId="4" numFmtId="0" xfId="0" applyAlignment="1" applyFont="1">
      <alignment vertical="bottom"/>
    </xf>
    <xf borderId="0" fillId="13" fontId="7" numFmtId="0" xfId="0" applyAlignment="1" applyFont="1">
      <alignment vertical="bottom"/>
    </xf>
    <xf borderId="0" fillId="13" fontId="6" numFmtId="0" xfId="0" applyAlignment="1" applyFont="1">
      <alignment vertical="bottom"/>
    </xf>
    <xf borderId="0" fillId="13" fontId="5" numFmtId="0" xfId="0" applyAlignment="1" applyFont="1">
      <alignment vertical="bottom"/>
    </xf>
    <xf borderId="0" fillId="13" fontId="3" numFmtId="0" xfId="0" applyAlignment="1" applyFont="1">
      <alignment shrinkToFit="0" vertical="bottom" wrapText="0"/>
    </xf>
    <xf borderId="0" fillId="0" fontId="21" numFmtId="0" xfId="0" applyFont="1"/>
    <xf borderId="0" fillId="0" fontId="1" numFmtId="0" xfId="0" applyFont="1"/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12" fillId="0" fontId="1" numFmtId="0" xfId="0" applyBorder="1" applyFont="1"/>
    <xf borderId="2" fillId="0" fontId="22" numFmtId="164" xfId="0" applyBorder="1" applyFont="1" applyNumberFormat="1"/>
    <xf borderId="3" fillId="0" fontId="22" numFmtId="164" xfId="0" applyBorder="1" applyFont="1" applyNumberFormat="1"/>
    <xf borderId="0" fillId="0" fontId="22" numFmtId="0" xfId="0" applyFont="1"/>
    <xf borderId="0" fillId="0" fontId="1" numFmtId="164" xfId="0" applyFont="1" applyNumberFormat="1"/>
    <xf borderId="0" fillId="0" fontId="22" numFmtId="164" xfId="0" applyFont="1" applyNumberFormat="1"/>
    <xf borderId="5" fillId="0" fontId="22" numFmtId="164" xfId="0" applyBorder="1" applyFont="1" applyNumberFormat="1"/>
    <xf borderId="7" fillId="0" fontId="22" numFmtId="164" xfId="0" applyBorder="1" applyFont="1" applyNumberFormat="1"/>
    <xf borderId="8" fillId="0" fontId="22" numFmtId="164" xfId="0" applyBorder="1" applyFont="1" applyNumberFormat="1"/>
    <xf borderId="0" fillId="0" fontId="1" numFmtId="164" xfId="0" applyFont="1" applyNumberFormat="1"/>
    <xf borderId="0" fillId="3" fontId="22" numFmtId="164" xfId="0" applyFont="1" applyNumberFormat="1"/>
    <xf borderId="0" fillId="0" fontId="1" numFmtId="166" xfId="0" applyFont="1" applyNumberFormat="1"/>
    <xf borderId="0" fillId="3" fontId="22" numFmtId="0" xfId="0" applyFont="1"/>
    <xf borderId="0" fillId="3" fontId="23" numFmtId="0" xfId="0" applyFont="1"/>
    <xf borderId="0" fillId="3" fontId="23" numFmtId="164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3" pivot="0" name="Kollekt-style">
      <tableStyleElement dxfId="1" type="headerRow"/>
      <tableStyleElement dxfId="2" type="firstRowStripe"/>
      <tableStyleElement dxfId="3" type="secondRowStripe"/>
    </tableStyle>
    <tableStyle count="2" pivot="0" name="Kollekt-style 2">
      <tableStyleElement dxfId="2" type="firstRowStripe"/>
      <tableStyleElement dxfId="3" type="secondRowStripe"/>
    </tableStyle>
  </tableStyle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<Relationships xmlns="http://schemas.openxmlformats.org/package/2006/relationships"><Relationship Id="rId1" Type="http://customschemas.google.com/relationships/workbookmetadata" Target="commentsmeta5"/></Relationships>
</file>

<file path=xl/_rels/comments7.xml.rels><?xml version="1.0" encoding="UTF-8" standalone="yes"?><Relationships xmlns="http://schemas.openxmlformats.org/package/2006/relationships"><Relationship Id="rId1" Type="http://customschemas.google.com/relationships/workbookmetadata" Target="commentsmeta6"/></Relationships>
</file>

<file path=xl/_rels/comments8.xml.rels><?xml version="1.0" encoding="UTF-8" standalone="yes"?><Relationships xmlns="http://schemas.openxmlformats.org/package/2006/relationships"><Relationship Id="rId1" Type="http://customschemas.google.com/relationships/workbookmetadata" Target="commentsmeta7"/></Relationships>
</file>

<file path=xl/_rels/comments9.xml.rels><?xml version="1.0" encoding="UTF-8" standalone="yes"?><Relationships xmlns="http://schemas.openxmlformats.org/package/2006/relationships"><Relationship Id="rId1" Type="http://customschemas.google.com/relationships/workbookmetadata" Target="commentsmeta8"/></Relationships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23" Type="http://customschemas.google.com/relationships/workbookmetadata" Target="metadata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6:H26" displayName="Table_1" id="1">
  <tableColumns count="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</tableColumns>
  <tableStyleInfo name="Kollekt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7:A22" displayName="Table_2" id="2">
  <tableColumns count="1">
    <tableColumn name="Column1" id="1"/>
  </tableColumns>
  <tableStyleInfo name="Kollekt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6.v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11.xml"/><Relationship Id="rId3" Type="http://schemas.openxmlformats.org/officeDocument/2006/relationships/vmlDrawing" Target="../drawings/vmlDrawing7.v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13.xml"/><Relationship Id="rId3" Type="http://schemas.openxmlformats.org/officeDocument/2006/relationships/vmlDrawing" Target="../drawings/vmlDrawing8.v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drawing" Target="../drawings/drawing14.xml"/><Relationship Id="rId3" Type="http://schemas.openxmlformats.org/officeDocument/2006/relationships/vmlDrawing" Target="../drawings/vmlDrawing9.v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s://www.mathem.se/varor/lattol-max-2-8--/grangesberg-lattol-eko-20x33cl" TargetMode="External"/><Relationship Id="rId3" Type="http://schemas.openxmlformats.org/officeDocument/2006/relationships/drawing" Target="../drawings/drawing6.xml"/><Relationship Id="rId4" Type="http://schemas.openxmlformats.org/officeDocument/2006/relationships/vmlDrawing" Target="../drawings/vmlDrawing2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3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4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15.75" customHeight="1">
      <c r="A4" s="1"/>
      <c r="B4" s="2" t="s">
        <v>0</v>
      </c>
      <c r="C4" s="3"/>
      <c r="D4" s="3"/>
      <c r="E4" s="3"/>
      <c r="F4" s="4"/>
      <c r="G4" s="1"/>
      <c r="H4" s="1"/>
      <c r="I4" s="1"/>
      <c r="J4" s="1"/>
      <c r="K4" s="1"/>
      <c r="L4" s="1"/>
    </row>
    <row r="5" ht="15.75" customHeight="1">
      <c r="A5" s="1"/>
      <c r="B5" s="5"/>
      <c r="C5" s="1"/>
      <c r="D5" s="1"/>
      <c r="E5" s="1"/>
      <c r="F5" s="6"/>
      <c r="G5" s="1"/>
      <c r="H5" s="1"/>
      <c r="I5" s="1"/>
      <c r="J5" s="1"/>
      <c r="K5" s="1"/>
      <c r="L5" s="1"/>
    </row>
    <row r="6" ht="15.75" customHeight="1">
      <c r="A6" s="1"/>
      <c r="B6" s="7" t="s">
        <v>1</v>
      </c>
      <c r="C6" s="8" t="s">
        <v>2</v>
      </c>
      <c r="D6" s="8" t="s">
        <v>3</v>
      </c>
      <c r="E6" s="8" t="s">
        <v>4</v>
      </c>
      <c r="F6" s="6"/>
      <c r="G6" s="1"/>
      <c r="H6" s="1"/>
      <c r="I6" s="9" t="s">
        <v>5</v>
      </c>
      <c r="J6" s="1"/>
      <c r="K6" s="10">
        <f>SUM('Allmänt'!F38,'Allmänt'!F39,'Allmänt'!F41,'Allmänt'!F42,'Allmänt'!F44,'Allmänt'!F46,KPH!D21,KPH!D23,Ledarna!D22,Ledarna!D23,n0llan!D23,'nUppÖk'!D24,'nUppÖk'!D22,'PHÖPO'!D26,'Phöto'!D27,'SprÖPO'!D26,'ÖPH'!D28)</f>
        <v>87613.7</v>
      </c>
      <c r="L6" s="1"/>
    </row>
    <row r="7" ht="15.75" customHeight="1">
      <c r="A7" s="1"/>
      <c r="B7" s="11" t="s">
        <v>6</v>
      </c>
      <c r="C7" s="12" t="s">
        <v>7</v>
      </c>
      <c r="D7" s="12" t="s">
        <v>7</v>
      </c>
      <c r="E7" s="12" t="s">
        <v>7</v>
      </c>
      <c r="F7" s="13" t="s">
        <v>8</v>
      </c>
      <c r="G7" s="1"/>
      <c r="H7" s="1"/>
      <c r="I7" s="9" t="s">
        <v>9</v>
      </c>
      <c r="J7" s="1"/>
      <c r="K7" s="10">
        <f>SUM(HVM!F28,HVM!F61,HVM!F91,n0llan!D21,'PhÄLGH'!D23,'PhÄLGH'!D65,'PhÄLGH'!F78,'SprÖPO'!F149,'ÖPH'!D82,'ÖPH'!F89,'ÖPH'!F114)</f>
        <v>91142</v>
      </c>
      <c r="L7" s="1"/>
    </row>
    <row r="8" ht="15.75" customHeight="1">
      <c r="A8" s="1"/>
      <c r="B8" s="14" t="s">
        <v>10</v>
      </c>
      <c r="C8" s="15">
        <f>'Allmänt'!D10</f>
        <v>-40369.6</v>
      </c>
      <c r="D8" s="16"/>
      <c r="E8" s="16"/>
      <c r="F8" s="17"/>
      <c r="G8" s="1"/>
      <c r="H8" s="1"/>
      <c r="I8" s="9" t="s">
        <v>11</v>
      </c>
      <c r="J8" s="1"/>
      <c r="K8" s="10">
        <f>SUM(HVM!F121,Ledarna!F48,Ledarna!F76,'nUppÖk'!F38,'nUppÖk'!D71,'nUppÖk'!F81,'PhÄLGH'!D130,'PhÄLGH'!F147,'Phöto'!D35,'SprÖPO'!D96,'SprÖPO'!F111,'SprÖPO'!D123,'ÖPH'!F58)</f>
        <v>287643</v>
      </c>
      <c r="L8" s="1"/>
    </row>
    <row r="9" ht="15.75" customHeight="1">
      <c r="A9" s="1"/>
      <c r="B9" s="18" t="s">
        <v>12</v>
      </c>
      <c r="C9" s="19">
        <f>'DÄR'!C11</f>
        <v>-1000</v>
      </c>
      <c r="D9" s="20"/>
      <c r="E9" s="20"/>
      <c r="F9" s="21"/>
      <c r="G9" s="1"/>
      <c r="H9" s="1"/>
      <c r="I9" s="9" t="s">
        <v>13</v>
      </c>
      <c r="J9" s="1"/>
      <c r="K9" s="10">
        <f>SUM('Allmänt'!F43,HVM!F154,n0g!F66,n0g!F83,n0g!D127,n0g!F138)</f>
        <v>310685</v>
      </c>
      <c r="L9" s="1"/>
    </row>
    <row r="10" ht="15.75" customHeight="1">
      <c r="A10" s="1"/>
      <c r="B10" s="14" t="s">
        <v>14</v>
      </c>
      <c r="C10" s="15">
        <f>'Ek0'!C11</f>
        <v>0</v>
      </c>
      <c r="D10" s="15">
        <v>0.0</v>
      </c>
      <c r="E10" s="15">
        <v>0.0</v>
      </c>
      <c r="F10" s="17"/>
      <c r="G10" s="1"/>
      <c r="H10" s="1"/>
      <c r="I10" s="9" t="s">
        <v>15</v>
      </c>
      <c r="J10" s="1"/>
      <c r="K10" s="10">
        <f>SUM(HVM!F184,n0llan!F36,'SprÖPO'!F175)</f>
        <v>31015</v>
      </c>
      <c r="L10" s="1"/>
    </row>
    <row r="11" ht="15.75" customHeight="1">
      <c r="A11" s="1"/>
      <c r="B11" s="18" t="s">
        <v>16</v>
      </c>
      <c r="C11" s="19">
        <f>HVM!D16</f>
        <v>-1746</v>
      </c>
      <c r="D11" s="20"/>
      <c r="E11" s="20"/>
      <c r="F11" s="21"/>
      <c r="G11" s="1"/>
      <c r="H11" s="16"/>
      <c r="I11" s="1"/>
      <c r="J11" s="1"/>
      <c r="K11" s="1"/>
      <c r="L11" s="1"/>
    </row>
    <row r="12" ht="15.75" customHeight="1">
      <c r="A12" s="1"/>
      <c r="B12" s="14" t="s">
        <v>17</v>
      </c>
      <c r="C12" s="15">
        <f>KPH!D12</f>
        <v>-3470</v>
      </c>
      <c r="D12" s="16"/>
      <c r="E12" s="16"/>
      <c r="F12" s="17"/>
      <c r="G12" s="1"/>
      <c r="H12" s="1"/>
      <c r="I12" s="1"/>
      <c r="J12" s="1"/>
      <c r="K12" s="1"/>
      <c r="L12" s="1"/>
    </row>
    <row r="13" ht="15.75" customHeight="1">
      <c r="A13" s="1"/>
      <c r="B13" s="18" t="s">
        <v>18</v>
      </c>
      <c r="C13" s="19">
        <f>Ledarna!D13</f>
        <v>-13380</v>
      </c>
      <c r="D13" s="20"/>
      <c r="E13" s="20"/>
      <c r="F13" s="21"/>
      <c r="G13" s="1"/>
      <c r="H13" s="1"/>
      <c r="I13" s="1"/>
      <c r="J13" s="1"/>
      <c r="K13" s="1"/>
      <c r="L13" s="1"/>
    </row>
    <row r="14" ht="15.75" customHeight="1">
      <c r="A14" s="1"/>
      <c r="B14" s="14" t="s">
        <v>19</v>
      </c>
      <c r="C14" s="15">
        <f>n0g!D12</f>
        <v>-22025</v>
      </c>
      <c r="D14" s="16"/>
      <c r="E14" s="16"/>
      <c r="F14" s="17"/>
      <c r="G14" s="1"/>
      <c r="H14" s="1"/>
      <c r="I14" s="1"/>
      <c r="J14" s="1"/>
      <c r="K14" s="1"/>
      <c r="L14" s="1"/>
    </row>
    <row r="15" ht="15.75" customHeight="1">
      <c r="A15" s="1"/>
      <c r="B15" s="18" t="s">
        <v>20</v>
      </c>
      <c r="C15" s="19">
        <f>n0llan!D12</f>
        <v>-5129.1</v>
      </c>
      <c r="D15" s="20"/>
      <c r="E15" s="20"/>
      <c r="F15" s="21"/>
      <c r="G15" s="1"/>
      <c r="H15" s="1"/>
      <c r="I15" s="1"/>
      <c r="J15" s="1"/>
      <c r="K15" s="1"/>
      <c r="L15" s="1"/>
    </row>
    <row r="16" ht="15.75" customHeight="1">
      <c r="A16" s="1"/>
      <c r="B16" s="14" t="s">
        <v>21</v>
      </c>
      <c r="C16" s="15">
        <f>'nUppÖk'!D13</f>
        <v>-725</v>
      </c>
      <c r="D16" s="16"/>
      <c r="E16" s="16"/>
      <c r="F16" s="17"/>
      <c r="G16" s="1"/>
      <c r="H16" s="1"/>
      <c r="I16" s="1"/>
      <c r="J16" s="1"/>
      <c r="K16" s="1"/>
      <c r="L16" s="1"/>
    </row>
    <row r="17" ht="15.75" customHeight="1">
      <c r="A17" s="1"/>
      <c r="B17" s="18" t="s">
        <v>22</v>
      </c>
      <c r="C17" s="19">
        <f>'PhÄLGH'!D13</f>
        <v>-28870</v>
      </c>
      <c r="D17" s="20"/>
      <c r="E17" s="20"/>
      <c r="F17" s="21"/>
      <c r="G17" s="1"/>
      <c r="H17" s="1"/>
      <c r="I17" s="1"/>
      <c r="J17" s="1"/>
      <c r="K17" s="1"/>
      <c r="L17" s="1"/>
    </row>
    <row r="18" ht="15.75" customHeight="1">
      <c r="A18" s="1"/>
      <c r="B18" s="14" t="s">
        <v>23</v>
      </c>
      <c r="C18" s="15">
        <f>'PHÖPO'!D11</f>
        <v>-5077</v>
      </c>
      <c r="D18" s="16"/>
      <c r="E18" s="16"/>
      <c r="F18" s="17"/>
      <c r="G18" s="1"/>
      <c r="H18" s="1"/>
      <c r="I18" s="1"/>
      <c r="J18" s="1"/>
      <c r="K18" s="1"/>
      <c r="L18" s="1"/>
    </row>
    <row r="19" ht="15.75" customHeight="1">
      <c r="A19" s="1"/>
      <c r="B19" s="18" t="s">
        <v>24</v>
      </c>
      <c r="C19" s="19">
        <f>'Phöto'!D12</f>
        <v>-12476</v>
      </c>
      <c r="D19" s="20"/>
      <c r="E19" s="20"/>
      <c r="F19" s="21"/>
      <c r="G19" s="1"/>
      <c r="H19" s="1"/>
      <c r="I19" s="1"/>
      <c r="J19" s="1"/>
      <c r="K19" s="1"/>
      <c r="L19" s="1"/>
    </row>
    <row r="20" ht="15.75" customHeight="1">
      <c r="A20" s="1"/>
      <c r="B20" s="14" t="s">
        <v>25</v>
      </c>
      <c r="C20" s="15">
        <f>'SprÖPO'!D16</f>
        <v>-47247</v>
      </c>
      <c r="D20" s="16"/>
      <c r="E20" s="16"/>
      <c r="F20" s="17"/>
      <c r="G20" s="1"/>
      <c r="H20" s="1"/>
      <c r="I20" s="1"/>
      <c r="J20" s="1"/>
      <c r="K20" s="1"/>
      <c r="L20" s="1"/>
    </row>
    <row r="21" ht="15.75" customHeight="1">
      <c r="A21" s="1"/>
      <c r="B21" s="18" t="s">
        <v>26</v>
      </c>
      <c r="C21" s="19">
        <f>'ÖPH'!D15</f>
        <v>1093</v>
      </c>
      <c r="D21" s="20"/>
      <c r="E21" s="20"/>
      <c r="F21" s="21"/>
      <c r="G21" s="1"/>
      <c r="H21" s="1"/>
      <c r="I21" s="1"/>
      <c r="J21" s="1"/>
      <c r="K21" s="1"/>
      <c r="L21" s="1"/>
    </row>
    <row r="22" ht="15.75" customHeight="1">
      <c r="A22" s="1"/>
      <c r="B22" s="22" t="s">
        <v>27</v>
      </c>
      <c r="C22" s="23">
        <f>SUM(C8:C21)</f>
        <v>-180421.7</v>
      </c>
      <c r="D22" s="24"/>
      <c r="E22" s="24"/>
      <c r="F22" s="25"/>
      <c r="G22" s="1"/>
      <c r="H22" s="1"/>
      <c r="I22" s="1"/>
      <c r="J22" s="1"/>
      <c r="K22" s="1"/>
      <c r="L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 vertic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1.0" customHeight="1">
      <c r="A3" s="1"/>
      <c r="B3" s="27" t="s">
        <v>21</v>
      </c>
      <c r="C3" s="3"/>
      <c r="D3" s="3"/>
      <c r="E3" s="3"/>
      <c r="F3" s="3"/>
      <c r="G3" s="4"/>
      <c r="H3" s="1"/>
      <c r="I3" s="1"/>
      <c r="J3" s="1"/>
      <c r="K3" s="1"/>
      <c r="L3" s="1"/>
    </row>
    <row r="4" ht="15.75" customHeight="1">
      <c r="A4" s="1"/>
      <c r="B4" s="5"/>
      <c r="C4" s="1"/>
      <c r="D4" s="1"/>
      <c r="E4" s="1"/>
      <c r="F4" s="1"/>
      <c r="G4" s="6"/>
      <c r="H4" s="1"/>
      <c r="I4" s="1"/>
      <c r="J4" s="1"/>
      <c r="K4" s="1"/>
      <c r="L4" s="1"/>
    </row>
    <row r="5" ht="15.75" customHeight="1">
      <c r="A5" s="1"/>
      <c r="B5" s="5"/>
      <c r="C5" s="1"/>
      <c r="D5" s="1"/>
      <c r="E5" s="1"/>
      <c r="F5" s="1"/>
      <c r="G5" s="6"/>
      <c r="H5" s="1"/>
      <c r="I5" s="1"/>
      <c r="J5" s="1"/>
      <c r="K5" s="1"/>
      <c r="L5" s="1"/>
    </row>
    <row r="6" ht="15.75" customHeight="1">
      <c r="A6" s="1"/>
      <c r="B6" s="133" t="s">
        <v>0</v>
      </c>
      <c r="C6" s="1"/>
      <c r="D6" s="1"/>
      <c r="E6" s="1"/>
      <c r="F6" s="1"/>
      <c r="G6" s="6"/>
      <c r="H6" s="1"/>
      <c r="I6" s="1"/>
      <c r="J6" s="1"/>
      <c r="K6" s="1"/>
      <c r="L6" s="1"/>
    </row>
    <row r="7" ht="15.75" customHeight="1">
      <c r="A7" s="1"/>
      <c r="B7" s="5"/>
      <c r="C7" s="1"/>
      <c r="D7" s="1"/>
      <c r="E7" s="1"/>
      <c r="F7" s="1"/>
      <c r="G7" s="6"/>
      <c r="H7" s="1"/>
      <c r="I7" s="1"/>
      <c r="J7" s="1"/>
      <c r="K7" s="1"/>
      <c r="L7" s="1"/>
    </row>
    <row r="8" ht="15.75" customHeight="1">
      <c r="A8" s="1"/>
      <c r="B8" s="7" t="s">
        <v>1</v>
      </c>
      <c r="C8" s="1"/>
      <c r="D8" s="8" t="s">
        <v>29</v>
      </c>
      <c r="E8" s="8" t="s">
        <v>3</v>
      </c>
      <c r="F8" s="8" t="s">
        <v>4</v>
      </c>
      <c r="G8" s="76" t="s">
        <v>8</v>
      </c>
      <c r="H8" s="1"/>
      <c r="I8" s="1"/>
      <c r="J8" s="1"/>
      <c r="K8" s="1"/>
      <c r="L8" s="1"/>
    </row>
    <row r="9" ht="15.75" customHeight="1">
      <c r="A9" s="1"/>
      <c r="B9" s="28" t="s">
        <v>6</v>
      </c>
      <c r="C9" s="29"/>
      <c r="D9" s="30" t="s">
        <v>7</v>
      </c>
      <c r="E9" s="30" t="s">
        <v>7</v>
      </c>
      <c r="F9" s="30" t="s">
        <v>7</v>
      </c>
      <c r="G9" s="134"/>
      <c r="H9" s="1"/>
      <c r="I9" s="1"/>
      <c r="J9" s="1"/>
      <c r="K9" s="1"/>
      <c r="L9" s="1"/>
    </row>
    <row r="10" ht="15.75" customHeight="1">
      <c r="A10" s="1"/>
      <c r="B10" s="14" t="s">
        <v>10</v>
      </c>
      <c r="C10" s="16"/>
      <c r="D10" s="15">
        <f>-D26</f>
        <v>-2000</v>
      </c>
      <c r="E10" s="16"/>
      <c r="F10" s="16"/>
      <c r="G10" s="17"/>
      <c r="H10" s="1"/>
      <c r="I10" s="1"/>
      <c r="J10" s="1"/>
      <c r="K10" s="1"/>
      <c r="L10" s="1"/>
    </row>
    <row r="11" ht="15.75" customHeight="1">
      <c r="A11" s="1"/>
      <c r="B11" s="164" t="s">
        <v>240</v>
      </c>
      <c r="C11" s="20"/>
      <c r="D11" s="19">
        <f>-F38</f>
        <v>-725</v>
      </c>
      <c r="E11" s="20"/>
      <c r="F11" s="20"/>
      <c r="G11" s="21"/>
      <c r="H11" s="1"/>
      <c r="I11" s="1"/>
      <c r="J11" s="1"/>
      <c r="K11" s="1"/>
      <c r="L11" s="1"/>
    </row>
    <row r="12" ht="15.75" customHeight="1">
      <c r="A12" s="1"/>
      <c r="B12" s="14" t="s">
        <v>241</v>
      </c>
      <c r="C12" s="16"/>
      <c r="D12" s="15">
        <f>D49</f>
        <v>2000</v>
      </c>
      <c r="E12" s="16"/>
      <c r="F12" s="16"/>
      <c r="G12" s="17"/>
      <c r="H12" s="1"/>
      <c r="I12" s="1"/>
      <c r="J12" s="1"/>
      <c r="K12" s="1"/>
      <c r="L12" s="1"/>
    </row>
    <row r="13" ht="15.75" customHeight="1">
      <c r="A13" s="1"/>
      <c r="B13" s="22" t="s">
        <v>27</v>
      </c>
      <c r="C13" s="24"/>
      <c r="D13" s="23">
        <f>SUM(D10:D12)</f>
        <v>-725</v>
      </c>
      <c r="E13" s="24"/>
      <c r="F13" s="24"/>
      <c r="G13" s="25"/>
      <c r="H13" s="1"/>
      <c r="I13" s="1"/>
      <c r="J13" s="1"/>
      <c r="K13" s="1"/>
      <c r="L13" s="1"/>
    </row>
    <row r="14" ht="15.75" customHeight="1">
      <c r="A14" s="1"/>
      <c r="B14" s="1" t="s">
        <v>97</v>
      </c>
      <c r="C14" s="34">
        <f>D47</f>
        <v>22975</v>
      </c>
      <c r="D14" s="1"/>
      <c r="E14" s="1"/>
      <c r="F14" s="1"/>
      <c r="G14" s="1"/>
      <c r="H14" s="1"/>
      <c r="I14" s="1"/>
      <c r="J14" s="1"/>
      <c r="K14" s="1"/>
      <c r="L14" s="1"/>
    </row>
    <row r="15" ht="15.75" customHeight="1">
      <c r="A15" s="1"/>
      <c r="B15" s="1" t="s">
        <v>48</v>
      </c>
      <c r="C15" s="34">
        <f>D26+F38+D48</f>
        <v>-18250</v>
      </c>
      <c r="D15" s="1"/>
      <c r="E15" s="1"/>
      <c r="F15" s="1"/>
      <c r="G15" s="1"/>
      <c r="H15" s="1"/>
      <c r="I15" s="1"/>
      <c r="J15" s="1"/>
      <c r="K15" s="1"/>
      <c r="L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ht="15.75" customHeight="1">
      <c r="A18" s="1"/>
      <c r="B18" s="151" t="s">
        <v>10</v>
      </c>
      <c r="C18" s="3"/>
      <c r="D18" s="3"/>
      <c r="E18" s="3"/>
      <c r="F18" s="3"/>
      <c r="G18" s="4"/>
      <c r="H18" s="1"/>
      <c r="I18" s="1"/>
      <c r="J18" s="1"/>
      <c r="K18" s="1"/>
      <c r="L18" s="1"/>
    </row>
    <row r="19" ht="15.75" customHeight="1">
      <c r="A19" s="1"/>
      <c r="B19" s="5"/>
      <c r="C19" s="1"/>
      <c r="D19" s="1"/>
      <c r="E19" s="1"/>
      <c r="F19" s="1"/>
      <c r="G19" s="6"/>
      <c r="H19" s="1"/>
      <c r="I19" s="1"/>
      <c r="J19" s="1"/>
      <c r="K19" s="1"/>
      <c r="L19" s="1"/>
    </row>
    <row r="20" ht="15.75" customHeight="1">
      <c r="A20" s="1"/>
      <c r="B20" s="7" t="s">
        <v>242</v>
      </c>
      <c r="C20" s="1"/>
      <c r="D20" s="8" t="s">
        <v>29</v>
      </c>
      <c r="E20" s="8" t="s">
        <v>3</v>
      </c>
      <c r="F20" s="8" t="s">
        <v>4</v>
      </c>
      <c r="G20" s="76" t="s">
        <v>8</v>
      </c>
      <c r="H20" s="1"/>
      <c r="I20" s="1"/>
      <c r="J20" s="1"/>
      <c r="K20" s="1"/>
      <c r="L20" s="1"/>
    </row>
    <row r="21" ht="15.75" customHeight="1">
      <c r="A21" s="1"/>
      <c r="B21" s="57" t="s">
        <v>6</v>
      </c>
      <c r="C21" s="58"/>
      <c r="D21" s="59" t="s">
        <v>7</v>
      </c>
      <c r="E21" s="59" t="s">
        <v>7</v>
      </c>
      <c r="F21" s="59" t="s">
        <v>7</v>
      </c>
      <c r="G21" s="77"/>
      <c r="H21" s="1"/>
      <c r="I21" s="1"/>
      <c r="J21" s="1"/>
      <c r="K21" s="1"/>
      <c r="L21" s="1"/>
    </row>
    <row r="22" ht="15.75" customHeight="1">
      <c r="A22" s="1"/>
      <c r="B22" s="14" t="s">
        <v>243</v>
      </c>
      <c r="C22" s="16"/>
      <c r="D22" s="15">
        <v>500.0</v>
      </c>
      <c r="E22" s="16"/>
      <c r="F22" s="16"/>
      <c r="G22" s="17" t="s">
        <v>244</v>
      </c>
      <c r="H22" s="1"/>
      <c r="I22" s="1"/>
      <c r="J22" s="1"/>
      <c r="K22" s="1"/>
      <c r="L22" s="1"/>
    </row>
    <row r="23" ht="15.75" customHeight="1">
      <c r="A23" s="1"/>
      <c r="B23" s="61" t="s">
        <v>245</v>
      </c>
      <c r="C23" s="62"/>
      <c r="D23" s="64">
        <v>300.0</v>
      </c>
      <c r="E23" s="62"/>
      <c r="F23" s="62"/>
      <c r="G23" s="65" t="s">
        <v>246</v>
      </c>
      <c r="H23" s="1"/>
      <c r="I23" s="1"/>
      <c r="J23" s="1"/>
      <c r="K23" s="1"/>
      <c r="L23" s="1"/>
    </row>
    <row r="24" ht="15.75" customHeight="1">
      <c r="A24" s="1"/>
      <c r="B24" s="44" t="s">
        <v>247</v>
      </c>
      <c r="C24" s="16"/>
      <c r="D24" s="15">
        <v>800.0</v>
      </c>
      <c r="E24" s="15">
        <v>4320.0</v>
      </c>
      <c r="F24" s="66">
        <f>D24-E24</f>
        <v>-3520</v>
      </c>
      <c r="G24" s="55" t="s">
        <v>248</v>
      </c>
      <c r="H24" s="1"/>
      <c r="I24" s="1"/>
      <c r="J24" s="1"/>
      <c r="K24" s="1"/>
      <c r="L24" s="1"/>
    </row>
    <row r="25" ht="15.75" customHeight="1">
      <c r="A25" s="1"/>
      <c r="B25" s="69" t="s">
        <v>249</v>
      </c>
      <c r="C25" s="62"/>
      <c r="D25" s="64">
        <v>400.0</v>
      </c>
      <c r="E25" s="62"/>
      <c r="F25" s="62"/>
      <c r="G25" s="65"/>
      <c r="H25" s="1"/>
      <c r="I25" s="1"/>
      <c r="J25" s="1"/>
      <c r="K25" s="1"/>
      <c r="L25" s="1"/>
    </row>
    <row r="26" ht="15.75" customHeight="1">
      <c r="A26" s="1"/>
      <c r="B26" s="70" t="s">
        <v>27</v>
      </c>
      <c r="C26" s="71"/>
      <c r="D26" s="73">
        <f>SUM(,D22:D25)</f>
        <v>2000</v>
      </c>
      <c r="E26" s="71"/>
      <c r="F26" s="71"/>
      <c r="G26" s="74"/>
      <c r="H26" s="1"/>
      <c r="I26" s="1"/>
      <c r="J26" s="1"/>
      <c r="K26" s="1"/>
      <c r="L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ht="15.75" customHeight="1">
      <c r="A31" s="1"/>
      <c r="B31" s="2" t="s">
        <v>250</v>
      </c>
      <c r="C31" s="3"/>
      <c r="D31" s="3"/>
      <c r="E31" s="3"/>
      <c r="F31" s="3"/>
      <c r="G31" s="3"/>
      <c r="H31" s="3"/>
      <c r="I31" s="3"/>
      <c r="J31" s="3"/>
      <c r="K31" s="4"/>
      <c r="L31" s="1"/>
    </row>
    <row r="32" ht="15.75" customHeight="1">
      <c r="A32" s="1"/>
      <c r="B32" s="5"/>
      <c r="C32" s="1"/>
      <c r="D32" s="1"/>
      <c r="E32" s="1"/>
      <c r="F32" s="1"/>
      <c r="G32" s="1"/>
      <c r="H32" s="1"/>
      <c r="I32" s="1"/>
      <c r="J32" s="1"/>
      <c r="K32" s="6"/>
      <c r="L32" s="1"/>
    </row>
    <row r="33" ht="15.75" customHeight="1">
      <c r="A33" s="1"/>
      <c r="B33" s="7" t="s">
        <v>242</v>
      </c>
      <c r="C33" s="1"/>
      <c r="D33" s="8" t="s">
        <v>29</v>
      </c>
      <c r="E33" s="1"/>
      <c r="F33" s="1"/>
      <c r="G33" s="8" t="s">
        <v>3</v>
      </c>
      <c r="H33" s="1"/>
      <c r="I33" s="1"/>
      <c r="J33" s="8" t="s">
        <v>4</v>
      </c>
      <c r="K33" s="76" t="s">
        <v>8</v>
      </c>
      <c r="L33" s="1"/>
    </row>
    <row r="34" ht="15.75" customHeight="1">
      <c r="A34" s="1"/>
      <c r="B34" s="57" t="s">
        <v>6</v>
      </c>
      <c r="C34" s="58"/>
      <c r="D34" s="59" t="s">
        <v>38</v>
      </c>
      <c r="E34" s="59" t="s">
        <v>39</v>
      </c>
      <c r="F34" s="59" t="s">
        <v>7</v>
      </c>
      <c r="G34" s="59" t="s">
        <v>38</v>
      </c>
      <c r="H34" s="59" t="s">
        <v>39</v>
      </c>
      <c r="I34" s="59" t="s">
        <v>7</v>
      </c>
      <c r="J34" s="59" t="s">
        <v>7</v>
      </c>
      <c r="K34" s="77"/>
      <c r="L34" s="1"/>
    </row>
    <row r="35" ht="15.75" customHeight="1">
      <c r="A35" s="1"/>
      <c r="B35" s="14" t="s">
        <v>251</v>
      </c>
      <c r="C35" s="16"/>
      <c r="D35" s="49">
        <v>1.0</v>
      </c>
      <c r="E35" s="15">
        <v>250.0</v>
      </c>
      <c r="F35" s="15">
        <f>PRODUCT(D35,E35)</f>
        <v>250</v>
      </c>
      <c r="G35" s="16"/>
      <c r="H35" s="16"/>
      <c r="I35" s="16"/>
      <c r="J35" s="16"/>
      <c r="K35" s="17" t="s">
        <v>252</v>
      </c>
      <c r="L35" s="1"/>
    </row>
    <row r="36" ht="15.75" customHeight="1">
      <c r="A36" s="1"/>
      <c r="B36" s="61" t="s">
        <v>253</v>
      </c>
      <c r="C36" s="62"/>
      <c r="D36" s="63">
        <v>35.0</v>
      </c>
      <c r="E36" s="64">
        <v>5.0</v>
      </c>
      <c r="F36" s="64">
        <f t="shared" ref="F36:F37" si="1">PRODUCT(D36:E36)</f>
        <v>175</v>
      </c>
      <c r="G36" s="62"/>
      <c r="H36" s="62"/>
      <c r="I36" s="62"/>
      <c r="J36" s="62"/>
      <c r="K36" s="65" t="s">
        <v>254</v>
      </c>
      <c r="L36" s="1"/>
    </row>
    <row r="37" ht="15.75" customHeight="1">
      <c r="A37" s="1"/>
      <c r="B37" s="14" t="s">
        <v>139</v>
      </c>
      <c r="C37" s="16"/>
      <c r="D37" s="49">
        <v>1.0</v>
      </c>
      <c r="E37" s="15">
        <v>300.0</v>
      </c>
      <c r="F37" s="15">
        <f t="shared" si="1"/>
        <v>300</v>
      </c>
      <c r="G37" s="16"/>
      <c r="H37" s="16"/>
      <c r="I37" s="16"/>
      <c r="J37" s="16"/>
      <c r="K37" s="17" t="s">
        <v>255</v>
      </c>
      <c r="L37" s="1"/>
    </row>
    <row r="38" ht="15.75" customHeight="1">
      <c r="A38" s="1"/>
      <c r="B38" s="70" t="s">
        <v>27</v>
      </c>
      <c r="C38" s="71"/>
      <c r="D38" s="71"/>
      <c r="E38" s="72"/>
      <c r="F38" s="73">
        <f>SUM(F35:F37)</f>
        <v>725</v>
      </c>
      <c r="G38" s="71"/>
      <c r="H38" s="71"/>
      <c r="I38" s="71"/>
      <c r="J38" s="71"/>
      <c r="K38" s="74"/>
      <c r="L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ht="15.75" customHeight="1">
      <c r="A43" s="1"/>
      <c r="B43" s="2" t="s">
        <v>256</v>
      </c>
      <c r="C43" s="3"/>
      <c r="D43" s="3"/>
      <c r="E43" s="3"/>
      <c r="F43" s="3"/>
      <c r="G43" s="3"/>
      <c r="H43" s="3"/>
      <c r="I43" s="3"/>
      <c r="J43" s="3"/>
      <c r="K43" s="4"/>
      <c r="L43" s="1"/>
    </row>
    <row r="44" ht="15.75" customHeight="1">
      <c r="A44" s="1"/>
      <c r="B44" s="5"/>
      <c r="C44" s="1"/>
      <c r="D44" s="1"/>
      <c r="E44" s="1"/>
      <c r="F44" s="1"/>
      <c r="G44" s="1"/>
      <c r="H44" s="1"/>
      <c r="I44" s="1"/>
      <c r="J44" s="1"/>
      <c r="K44" s="6"/>
      <c r="L44" s="1"/>
    </row>
    <row r="45" ht="15.75" customHeight="1">
      <c r="A45" s="1"/>
      <c r="B45" s="7" t="s">
        <v>1</v>
      </c>
      <c r="C45" s="1"/>
      <c r="D45" s="8" t="s">
        <v>29</v>
      </c>
      <c r="E45" s="8" t="s">
        <v>3</v>
      </c>
      <c r="F45" s="8" t="s">
        <v>4</v>
      </c>
      <c r="G45" s="8" t="s">
        <v>8</v>
      </c>
      <c r="H45" s="1"/>
      <c r="I45" s="1"/>
      <c r="J45" s="1"/>
      <c r="K45" s="6"/>
      <c r="L45" s="1"/>
    </row>
    <row r="46" ht="15.75" customHeight="1">
      <c r="A46" s="1"/>
      <c r="B46" s="28" t="s">
        <v>6</v>
      </c>
      <c r="C46" s="29"/>
      <c r="D46" s="30" t="s">
        <v>7</v>
      </c>
      <c r="E46" s="30" t="s">
        <v>7</v>
      </c>
      <c r="F46" s="30" t="s">
        <v>7</v>
      </c>
      <c r="G46" s="29"/>
      <c r="H46" s="1"/>
      <c r="I46" s="1"/>
      <c r="J46" s="1"/>
      <c r="K46" s="6"/>
      <c r="L46" s="1"/>
    </row>
    <row r="47" ht="15.75" customHeight="1">
      <c r="A47" s="1"/>
      <c r="B47" s="14" t="s">
        <v>97</v>
      </c>
      <c r="C47" s="16"/>
      <c r="D47" s="15">
        <f>SUM(F57,F65)</f>
        <v>22975</v>
      </c>
      <c r="E47" s="16"/>
      <c r="F47" s="16"/>
      <c r="G47" s="16"/>
      <c r="H47" s="1"/>
      <c r="I47" s="1"/>
      <c r="J47" s="1"/>
      <c r="K47" s="6"/>
      <c r="L47" s="1"/>
    </row>
    <row r="48" ht="15.75" customHeight="1">
      <c r="A48" s="1"/>
      <c r="B48" s="18" t="s">
        <v>48</v>
      </c>
      <c r="C48" s="20"/>
      <c r="D48" s="19">
        <f>SUM(-D71,-F81)</f>
        <v>-20975</v>
      </c>
      <c r="E48" s="20"/>
      <c r="F48" s="20"/>
      <c r="G48" s="20"/>
      <c r="H48" s="1"/>
      <c r="I48" s="1"/>
      <c r="J48" s="1"/>
      <c r="K48" s="6"/>
      <c r="L48" s="1"/>
    </row>
    <row r="49" ht="15.75" customHeight="1">
      <c r="A49" s="1"/>
      <c r="B49" s="31" t="s">
        <v>27</v>
      </c>
      <c r="C49" s="32"/>
      <c r="D49" s="33">
        <f>SUM(D47:D48)</f>
        <v>2000</v>
      </c>
      <c r="E49" s="32"/>
      <c r="F49" s="32"/>
      <c r="G49" s="32"/>
      <c r="H49" s="1"/>
      <c r="I49" s="1"/>
      <c r="J49" s="1"/>
      <c r="K49" s="6"/>
      <c r="L49" s="1"/>
    </row>
    <row r="50" ht="15.75" customHeight="1">
      <c r="A50" s="1"/>
      <c r="B50" s="5"/>
      <c r="C50" s="1"/>
      <c r="D50" s="1"/>
      <c r="E50" s="1"/>
      <c r="F50" s="1"/>
      <c r="G50" s="1"/>
      <c r="H50" s="1"/>
      <c r="I50" s="1"/>
      <c r="J50" s="1"/>
      <c r="K50" s="6"/>
      <c r="L50" s="1"/>
    </row>
    <row r="51" ht="15.75" customHeight="1">
      <c r="A51" s="1"/>
      <c r="B51" s="5"/>
      <c r="C51" s="1"/>
      <c r="D51" s="1"/>
      <c r="E51" s="1"/>
      <c r="F51" s="1"/>
      <c r="G51" s="1"/>
      <c r="H51" s="1"/>
      <c r="I51" s="1"/>
      <c r="J51" s="1"/>
      <c r="K51" s="6"/>
      <c r="L51" s="1"/>
    </row>
    <row r="52" ht="15.75" customHeight="1">
      <c r="A52" s="1"/>
      <c r="B52" s="135" t="s">
        <v>257</v>
      </c>
      <c r="C52" s="1"/>
      <c r="D52" s="8" t="s">
        <v>29</v>
      </c>
      <c r="E52" s="1"/>
      <c r="F52" s="1"/>
      <c r="G52" s="8" t="s">
        <v>3</v>
      </c>
      <c r="H52" s="1"/>
      <c r="I52" s="1"/>
      <c r="J52" s="8" t="s">
        <v>4</v>
      </c>
      <c r="K52" s="76" t="s">
        <v>8</v>
      </c>
      <c r="L52" s="1"/>
    </row>
    <row r="53" ht="15.75" customHeight="1">
      <c r="A53" s="1"/>
      <c r="B53" s="36" t="s">
        <v>6</v>
      </c>
      <c r="C53" s="37"/>
      <c r="D53" s="38" t="s">
        <v>38</v>
      </c>
      <c r="E53" s="38" t="s">
        <v>39</v>
      </c>
      <c r="F53" s="38" t="s">
        <v>7</v>
      </c>
      <c r="G53" s="38" t="s">
        <v>38</v>
      </c>
      <c r="H53" s="38" t="s">
        <v>39</v>
      </c>
      <c r="I53" s="38" t="s">
        <v>7</v>
      </c>
      <c r="J53" s="38" t="s">
        <v>7</v>
      </c>
      <c r="K53" s="136"/>
      <c r="L53" s="1"/>
    </row>
    <row r="54" ht="15.75" customHeight="1">
      <c r="A54" s="1"/>
      <c r="B54" s="14" t="s">
        <v>116</v>
      </c>
      <c r="C54" s="16"/>
      <c r="D54" s="49">
        <v>105.0</v>
      </c>
      <c r="E54" s="50">
        <v>65.0</v>
      </c>
      <c r="F54" s="15">
        <f t="shared" ref="F54:F56" si="2">PRODUCT(D54:E54)</f>
        <v>6825</v>
      </c>
      <c r="G54" s="16"/>
      <c r="H54" s="16"/>
      <c r="I54" s="16"/>
      <c r="J54" s="16"/>
      <c r="K54" s="17"/>
      <c r="L54" s="1"/>
    </row>
    <row r="55" ht="15.75" customHeight="1">
      <c r="A55" s="1"/>
      <c r="B55" s="165" t="s">
        <v>119</v>
      </c>
      <c r="C55" s="166"/>
      <c r="D55" s="167">
        <v>0.0</v>
      </c>
      <c r="E55" s="168">
        <v>80.0</v>
      </c>
      <c r="F55" s="168">
        <f t="shared" si="2"/>
        <v>0</v>
      </c>
      <c r="G55" s="166"/>
      <c r="H55" s="166"/>
      <c r="I55" s="166"/>
      <c r="J55" s="166"/>
      <c r="K55" s="169"/>
      <c r="L55" s="1"/>
    </row>
    <row r="56" ht="15.75" customHeight="1">
      <c r="A56" s="1"/>
      <c r="B56" s="14" t="s">
        <v>120</v>
      </c>
      <c r="C56" s="16"/>
      <c r="D56" s="49">
        <v>15.0</v>
      </c>
      <c r="E56" s="50">
        <v>50.0</v>
      </c>
      <c r="F56" s="15">
        <f t="shared" si="2"/>
        <v>750</v>
      </c>
      <c r="G56" s="16"/>
      <c r="H56" s="16"/>
      <c r="I56" s="16"/>
      <c r="J56" s="16"/>
      <c r="K56" s="17"/>
      <c r="L56" s="1"/>
    </row>
    <row r="57" ht="15.75" customHeight="1">
      <c r="A57" s="1"/>
      <c r="B57" s="45" t="s">
        <v>27</v>
      </c>
      <c r="C57" s="46"/>
      <c r="D57" s="46"/>
      <c r="E57" s="53"/>
      <c r="F57" s="47">
        <f>SUM(F54:F56)</f>
        <v>7575</v>
      </c>
      <c r="G57" s="46"/>
      <c r="H57" s="46"/>
      <c r="I57" s="46"/>
      <c r="J57" s="46"/>
      <c r="K57" s="54"/>
      <c r="L57" s="1"/>
    </row>
    <row r="58" ht="15.75" customHeight="1">
      <c r="A58" s="1"/>
      <c r="B58" s="5"/>
      <c r="C58" s="1"/>
      <c r="D58" s="1"/>
      <c r="E58" s="1"/>
      <c r="F58" s="1"/>
      <c r="G58" s="1"/>
      <c r="H58" s="1"/>
      <c r="I58" s="1"/>
      <c r="J58" s="1"/>
      <c r="K58" s="6"/>
      <c r="L58" s="1"/>
    </row>
    <row r="59" ht="15.75" customHeight="1">
      <c r="A59" s="1"/>
      <c r="B59" s="5"/>
      <c r="C59" s="1"/>
      <c r="D59" s="1"/>
      <c r="E59" s="1"/>
      <c r="F59" s="1"/>
      <c r="G59" s="1"/>
      <c r="H59" s="1"/>
      <c r="I59" s="1"/>
      <c r="J59" s="1"/>
      <c r="K59" s="6"/>
      <c r="L59" s="1"/>
    </row>
    <row r="60" ht="15.75" customHeight="1">
      <c r="A60" s="1"/>
      <c r="B60" s="7" t="s">
        <v>125</v>
      </c>
      <c r="C60" s="1"/>
      <c r="D60" s="8" t="s">
        <v>29</v>
      </c>
      <c r="E60" s="1"/>
      <c r="F60" s="1"/>
      <c r="G60" s="8" t="s">
        <v>3</v>
      </c>
      <c r="H60" s="1"/>
      <c r="I60" s="1"/>
      <c r="J60" s="8" t="s">
        <v>4</v>
      </c>
      <c r="K60" s="76" t="s">
        <v>8</v>
      </c>
      <c r="L60" s="1"/>
    </row>
    <row r="61" ht="15.75" customHeight="1">
      <c r="A61" s="1"/>
      <c r="B61" s="36" t="s">
        <v>6</v>
      </c>
      <c r="C61" s="37"/>
      <c r="D61" s="38" t="s">
        <v>38</v>
      </c>
      <c r="E61" s="38" t="s">
        <v>39</v>
      </c>
      <c r="F61" s="38" t="s">
        <v>7</v>
      </c>
      <c r="G61" s="38" t="s">
        <v>38</v>
      </c>
      <c r="H61" s="38" t="s">
        <v>39</v>
      </c>
      <c r="I61" s="38" t="s">
        <v>7</v>
      </c>
      <c r="J61" s="38" t="s">
        <v>7</v>
      </c>
      <c r="K61" s="136"/>
      <c r="L61" s="1"/>
    </row>
    <row r="62" ht="15.75" customHeight="1">
      <c r="A62" s="1"/>
      <c r="B62" s="14" t="s">
        <v>116</v>
      </c>
      <c r="C62" s="16"/>
      <c r="D62" s="49">
        <v>160.0</v>
      </c>
      <c r="E62" s="15">
        <v>80.0</v>
      </c>
      <c r="F62" s="15">
        <f t="shared" ref="F62:F64" si="3">PRODUCT(D62:E62)</f>
        <v>12800</v>
      </c>
      <c r="G62" s="16"/>
      <c r="H62" s="16"/>
      <c r="I62" s="16"/>
      <c r="J62" s="16"/>
      <c r="K62" s="17"/>
      <c r="L62" s="1"/>
    </row>
    <row r="63" ht="15.75" customHeight="1">
      <c r="A63" s="1"/>
      <c r="B63" s="165" t="s">
        <v>119</v>
      </c>
      <c r="C63" s="166"/>
      <c r="D63" s="167">
        <v>0.0</v>
      </c>
      <c r="E63" s="168">
        <v>80.0</v>
      </c>
      <c r="F63" s="168">
        <f t="shared" si="3"/>
        <v>0</v>
      </c>
      <c r="G63" s="166"/>
      <c r="H63" s="166"/>
      <c r="I63" s="166"/>
      <c r="J63" s="166"/>
      <c r="K63" s="169"/>
      <c r="L63" s="1"/>
    </row>
    <row r="64" ht="15.75" customHeight="1">
      <c r="A64" s="1"/>
      <c r="B64" s="14" t="s">
        <v>120</v>
      </c>
      <c r="C64" s="16"/>
      <c r="D64" s="49">
        <v>40.0</v>
      </c>
      <c r="E64" s="15">
        <v>65.0</v>
      </c>
      <c r="F64" s="15">
        <f t="shared" si="3"/>
        <v>2600</v>
      </c>
      <c r="G64" s="16"/>
      <c r="H64" s="16"/>
      <c r="I64" s="16"/>
      <c r="J64" s="16"/>
      <c r="K64" s="17"/>
      <c r="L64" s="1"/>
    </row>
    <row r="65" ht="15.75" customHeight="1">
      <c r="A65" s="1"/>
      <c r="B65" s="45" t="s">
        <v>27</v>
      </c>
      <c r="C65" s="46"/>
      <c r="D65" s="46"/>
      <c r="E65" s="53"/>
      <c r="F65" s="47">
        <f>SUM(F62:F64)</f>
        <v>15400</v>
      </c>
      <c r="G65" s="46"/>
      <c r="H65" s="46"/>
      <c r="I65" s="46"/>
      <c r="J65" s="46"/>
      <c r="K65" s="54"/>
      <c r="L65" s="1"/>
    </row>
    <row r="66" ht="15.75" customHeight="1">
      <c r="A66" s="1"/>
      <c r="B66" s="5"/>
      <c r="C66" s="1"/>
      <c r="D66" s="1"/>
      <c r="E66" s="1"/>
      <c r="F66" s="1"/>
      <c r="G66" s="1"/>
      <c r="H66" s="1"/>
      <c r="I66" s="1"/>
      <c r="J66" s="1"/>
      <c r="K66" s="6"/>
      <c r="L66" s="1"/>
    </row>
    <row r="67" ht="15.75" customHeight="1">
      <c r="A67" s="1"/>
      <c r="B67" s="5"/>
      <c r="C67" s="1"/>
      <c r="D67" s="1"/>
      <c r="E67" s="1"/>
      <c r="F67" s="1"/>
      <c r="G67" s="1"/>
      <c r="H67" s="1"/>
      <c r="I67" s="1"/>
      <c r="J67" s="1"/>
      <c r="K67" s="6"/>
      <c r="L67" s="1"/>
    </row>
    <row r="68" ht="15.75" customHeight="1">
      <c r="A68" s="1"/>
      <c r="B68" s="135" t="s">
        <v>132</v>
      </c>
      <c r="C68" s="1"/>
      <c r="D68" s="8" t="s">
        <v>29</v>
      </c>
      <c r="E68" s="8" t="s">
        <v>3</v>
      </c>
      <c r="F68" s="8" t="s">
        <v>4</v>
      </c>
      <c r="G68" s="8" t="s">
        <v>8</v>
      </c>
      <c r="H68" s="1"/>
      <c r="I68" s="1"/>
      <c r="J68" s="1"/>
      <c r="K68" s="6"/>
      <c r="L68" s="1"/>
    </row>
    <row r="69" ht="15.75" customHeight="1">
      <c r="A69" s="1"/>
      <c r="B69" s="57" t="s">
        <v>6</v>
      </c>
      <c r="C69" s="58"/>
      <c r="D69" s="59" t="s">
        <v>7</v>
      </c>
      <c r="E69" s="59" t="s">
        <v>7</v>
      </c>
      <c r="F69" s="59" t="s">
        <v>7</v>
      </c>
      <c r="G69" s="58"/>
      <c r="H69" s="1"/>
      <c r="I69" s="1"/>
      <c r="J69" s="1"/>
      <c r="K69" s="6"/>
      <c r="L69" s="1"/>
    </row>
    <row r="70" ht="15.75" customHeight="1">
      <c r="A70" s="1"/>
      <c r="B70" s="14" t="s">
        <v>258</v>
      </c>
      <c r="C70" s="16"/>
      <c r="D70" s="15">
        <v>1000.0</v>
      </c>
      <c r="E70" s="16"/>
      <c r="F70" s="16"/>
      <c r="G70" s="16"/>
      <c r="H70" s="1"/>
      <c r="I70" s="1"/>
      <c r="J70" s="1"/>
      <c r="K70" s="6"/>
      <c r="L70" s="1"/>
    </row>
    <row r="71" ht="15.75" customHeight="1">
      <c r="A71" s="1"/>
      <c r="B71" s="145" t="s">
        <v>27</v>
      </c>
      <c r="C71" s="146"/>
      <c r="D71" s="148">
        <f>D70</f>
        <v>1000</v>
      </c>
      <c r="E71" s="146"/>
      <c r="F71" s="146"/>
      <c r="G71" s="146"/>
      <c r="H71" s="1"/>
      <c r="I71" s="1"/>
      <c r="J71" s="1"/>
      <c r="K71" s="6"/>
      <c r="L71" s="1"/>
    </row>
    <row r="72" ht="15.75" customHeight="1">
      <c r="A72" s="1"/>
      <c r="B72" s="5"/>
      <c r="C72" s="1"/>
      <c r="D72" s="1"/>
      <c r="E72" s="1"/>
      <c r="F72" s="1"/>
      <c r="G72" s="1"/>
      <c r="H72" s="1"/>
      <c r="I72" s="1"/>
      <c r="J72" s="1"/>
      <c r="K72" s="6"/>
      <c r="L72" s="1"/>
    </row>
    <row r="73" ht="15.75" customHeight="1">
      <c r="A73" s="1"/>
      <c r="B73" s="5"/>
      <c r="C73" s="1"/>
      <c r="D73" s="1"/>
      <c r="E73" s="1"/>
      <c r="F73" s="1"/>
      <c r="G73" s="1"/>
      <c r="H73" s="1"/>
      <c r="I73" s="1"/>
      <c r="J73" s="1"/>
      <c r="K73" s="6"/>
      <c r="L73" s="1"/>
    </row>
    <row r="74" ht="15.75" customHeight="1">
      <c r="A74" s="1"/>
      <c r="B74" s="135" t="s">
        <v>151</v>
      </c>
      <c r="C74" s="1"/>
      <c r="D74" s="8" t="s">
        <v>29</v>
      </c>
      <c r="E74" s="1"/>
      <c r="F74" s="1"/>
      <c r="G74" s="8" t="s">
        <v>3</v>
      </c>
      <c r="H74" s="1"/>
      <c r="I74" s="1"/>
      <c r="J74" s="8" t="s">
        <v>4</v>
      </c>
      <c r="K74" s="76" t="s">
        <v>8</v>
      </c>
      <c r="L74" s="1"/>
    </row>
    <row r="75" ht="15.75" customHeight="1">
      <c r="A75" s="1"/>
      <c r="B75" s="57" t="s">
        <v>6</v>
      </c>
      <c r="C75" s="58"/>
      <c r="D75" s="59" t="s">
        <v>38</v>
      </c>
      <c r="E75" s="59" t="s">
        <v>39</v>
      </c>
      <c r="F75" s="59" t="s">
        <v>7</v>
      </c>
      <c r="G75" s="59" t="s">
        <v>38</v>
      </c>
      <c r="H75" s="59" t="s">
        <v>39</v>
      </c>
      <c r="I75" s="59" t="s">
        <v>7</v>
      </c>
      <c r="J75" s="59" t="s">
        <v>7</v>
      </c>
      <c r="K75" s="77"/>
      <c r="L75" s="1"/>
    </row>
    <row r="76" ht="15.75" customHeight="1">
      <c r="A76" s="1"/>
      <c r="B76" s="14" t="s">
        <v>259</v>
      </c>
      <c r="C76" s="16"/>
      <c r="D76" s="49">
        <f>SUM(D54,D55,D56,D62,D63,D64)</f>
        <v>320</v>
      </c>
      <c r="E76" s="15">
        <v>30.0</v>
      </c>
      <c r="F76" s="15">
        <f t="shared" ref="F76:F80" si="4">PRODUCT(D76:E76)</f>
        <v>9600</v>
      </c>
      <c r="G76" s="16"/>
      <c r="H76" s="16"/>
      <c r="I76" s="16"/>
      <c r="J76" s="16"/>
      <c r="K76" s="170" t="s">
        <v>260</v>
      </c>
      <c r="L76" s="1"/>
    </row>
    <row r="77" ht="15.75" customHeight="1">
      <c r="A77" s="1"/>
      <c r="B77" s="61" t="s">
        <v>105</v>
      </c>
      <c r="C77" s="62"/>
      <c r="D77" s="63">
        <f t="shared" ref="D77:D79" si="5">SUM(D54,D62)</f>
        <v>265</v>
      </c>
      <c r="E77" s="64">
        <v>35.0</v>
      </c>
      <c r="F77" s="64">
        <f t="shared" si="4"/>
        <v>9275</v>
      </c>
      <c r="G77" s="62"/>
      <c r="H77" s="62"/>
      <c r="I77" s="62"/>
      <c r="J77" s="62"/>
      <c r="K77" s="171"/>
      <c r="L77" s="1" t="s">
        <v>261</v>
      </c>
      <c r="N77" s="171" t="s">
        <v>262</v>
      </c>
    </row>
    <row r="78" ht="15.75" customHeight="1">
      <c r="A78" s="1"/>
      <c r="B78" s="14" t="s">
        <v>107</v>
      </c>
      <c r="C78" s="16"/>
      <c r="D78" s="49">
        <f t="shared" si="5"/>
        <v>0</v>
      </c>
      <c r="E78" s="15">
        <v>35.0</v>
      </c>
      <c r="F78" s="15">
        <f t="shared" si="4"/>
        <v>0</v>
      </c>
      <c r="G78" s="16"/>
      <c r="H78" s="16"/>
      <c r="I78" s="16"/>
      <c r="J78" s="16"/>
      <c r="K78" s="55"/>
      <c r="L78" s="1" t="s">
        <v>263</v>
      </c>
      <c r="N78" s="55" t="s">
        <v>262</v>
      </c>
    </row>
    <row r="79" ht="15.75" customHeight="1">
      <c r="A79" s="1"/>
      <c r="B79" s="61" t="s">
        <v>106</v>
      </c>
      <c r="C79" s="62"/>
      <c r="D79" s="63">
        <f t="shared" si="5"/>
        <v>55</v>
      </c>
      <c r="E79" s="64">
        <v>20.0</v>
      </c>
      <c r="F79" s="64">
        <f t="shared" si="4"/>
        <v>1100</v>
      </c>
      <c r="G79" s="62"/>
      <c r="H79" s="62"/>
      <c r="I79" s="62"/>
      <c r="J79" s="62"/>
      <c r="K79" s="171"/>
      <c r="L79" s="1" t="s">
        <v>264</v>
      </c>
      <c r="N79" s="171" t="s">
        <v>262</v>
      </c>
    </row>
    <row r="80" ht="15.75" customHeight="1">
      <c r="A80" s="1"/>
      <c r="B80" s="14" t="s">
        <v>37</v>
      </c>
      <c r="C80" s="16"/>
      <c r="D80" s="49">
        <v>0.0</v>
      </c>
      <c r="E80" s="15">
        <v>0.0</v>
      </c>
      <c r="F80" s="15">
        <f t="shared" si="4"/>
        <v>0</v>
      </c>
      <c r="G80" s="16"/>
      <c r="H80" s="16"/>
      <c r="I80" s="16"/>
      <c r="J80" s="16"/>
      <c r="K80" s="17"/>
      <c r="L80" s="1" t="s">
        <v>265</v>
      </c>
    </row>
    <row r="81" ht="15.75" customHeight="1">
      <c r="A81" s="1"/>
      <c r="B81" s="70" t="s">
        <v>27</v>
      </c>
      <c r="C81" s="71"/>
      <c r="D81" s="71"/>
      <c r="E81" s="72"/>
      <c r="F81" s="73">
        <f>SUM(F76:F80)</f>
        <v>19975</v>
      </c>
      <c r="G81" s="71"/>
      <c r="H81" s="71"/>
      <c r="I81" s="71"/>
      <c r="J81" s="71"/>
      <c r="K81" s="74"/>
      <c r="L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2" max="2" width="18.5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>
      <c r="A3" s="1"/>
      <c r="B3" s="27" t="s">
        <v>22</v>
      </c>
      <c r="C3" s="3"/>
      <c r="D3" s="3"/>
      <c r="E3" s="3"/>
      <c r="F3" s="3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15.75" customHeight="1">
      <c r="A4" s="1"/>
      <c r="B4" s="5"/>
      <c r="C4" s="1"/>
      <c r="D4" s="1"/>
      <c r="E4" s="1"/>
      <c r="F4" s="1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5.75" customHeight="1">
      <c r="A5" s="1"/>
      <c r="B5" s="5"/>
      <c r="C5" s="1"/>
      <c r="D5" s="1"/>
      <c r="E5" s="1"/>
      <c r="F5" s="1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15.75" customHeight="1">
      <c r="A6" s="1"/>
      <c r="B6" s="133" t="s">
        <v>0</v>
      </c>
      <c r="C6" s="1"/>
      <c r="D6" s="1"/>
      <c r="E6" s="1"/>
      <c r="F6" s="1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5.75" customHeight="1">
      <c r="A7" s="1"/>
      <c r="B7" s="5"/>
      <c r="C7" s="1"/>
      <c r="D7" s="1"/>
      <c r="E7" s="1"/>
      <c r="F7" s="1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7" t="s">
        <v>1</v>
      </c>
      <c r="C8" s="1"/>
      <c r="D8" s="8" t="s">
        <v>29</v>
      </c>
      <c r="E8" s="8" t="s">
        <v>3</v>
      </c>
      <c r="F8" s="8" t="s">
        <v>4</v>
      </c>
      <c r="G8" s="76" t="s">
        <v>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5.75" customHeight="1">
      <c r="A9" s="1"/>
      <c r="B9" s="28" t="s">
        <v>6</v>
      </c>
      <c r="C9" s="29"/>
      <c r="D9" s="30" t="s">
        <v>7</v>
      </c>
      <c r="E9" s="30" t="s">
        <v>7</v>
      </c>
      <c r="F9" s="30" t="s">
        <v>7</v>
      </c>
      <c r="G9" s="13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"/>
      <c r="B10" s="14" t="s">
        <v>266</v>
      </c>
      <c r="C10" s="66"/>
      <c r="D10" s="15">
        <f>-D23</f>
        <v>-1500</v>
      </c>
      <c r="E10" s="16"/>
      <c r="F10" s="16"/>
      <c r="G10" s="1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"/>
      <c r="B11" s="18" t="s">
        <v>267</v>
      </c>
      <c r="C11" s="172"/>
      <c r="D11" s="19">
        <f>D34</f>
        <v>2050</v>
      </c>
      <c r="E11" s="20"/>
      <c r="F11" s="20"/>
      <c r="G11" s="2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"/>
      <c r="B12" s="14" t="s">
        <v>268</v>
      </c>
      <c r="C12" s="16"/>
      <c r="D12" s="15">
        <f>D90</f>
        <v>-29420</v>
      </c>
      <c r="E12" s="16"/>
      <c r="F12" s="16"/>
      <c r="G12" s="1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"/>
      <c r="B13" s="22" t="s">
        <v>27</v>
      </c>
      <c r="C13" s="24"/>
      <c r="D13" s="23">
        <f>SUM(D10:D12)</f>
        <v>-28870</v>
      </c>
      <c r="E13" s="24"/>
      <c r="F13" s="24"/>
      <c r="G13" s="2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"/>
      <c r="B14" s="1" t="s">
        <v>97</v>
      </c>
      <c r="C14" s="34">
        <f>D32+D88</f>
        <v>135594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"/>
      <c r="B15" s="1" t="s">
        <v>269</v>
      </c>
      <c r="C15" s="34">
        <f>D23+D33+D89</f>
        <v>-161464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"/>
      <c r="B18" s="2" t="s">
        <v>266</v>
      </c>
      <c r="C18" s="3"/>
      <c r="D18" s="3"/>
      <c r="E18" s="3"/>
      <c r="F18" s="3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"/>
      <c r="B19" s="5"/>
      <c r="C19" s="1"/>
      <c r="D19" s="1"/>
      <c r="E19" s="1"/>
      <c r="F19" s="1"/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"/>
      <c r="B20" s="7" t="s">
        <v>242</v>
      </c>
      <c r="C20" s="34"/>
      <c r="D20" s="8" t="s">
        <v>29</v>
      </c>
      <c r="E20" s="8" t="s">
        <v>3</v>
      </c>
      <c r="F20" s="8" t="s">
        <v>4</v>
      </c>
      <c r="G20" s="76" t="s">
        <v>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5.75" customHeight="1">
      <c r="A21" s="1"/>
      <c r="B21" s="57" t="s">
        <v>6</v>
      </c>
      <c r="C21" s="173"/>
      <c r="D21" s="106" t="s">
        <v>7</v>
      </c>
      <c r="E21" s="59" t="s">
        <v>7</v>
      </c>
      <c r="F21" s="59" t="s">
        <v>7</v>
      </c>
      <c r="G21" s="7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5.75" customHeight="1">
      <c r="A22" s="1"/>
      <c r="B22" s="44" t="s">
        <v>270</v>
      </c>
      <c r="C22" s="66"/>
      <c r="D22" s="15">
        <v>1500.0</v>
      </c>
      <c r="E22" s="16"/>
      <c r="F22" s="16"/>
      <c r="G22" s="17" t="s">
        <v>271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5.75" customHeight="1">
      <c r="A23" s="1"/>
      <c r="B23" s="70" t="s">
        <v>27</v>
      </c>
      <c r="C23" s="71"/>
      <c r="D23" s="73">
        <f>D22</f>
        <v>1500</v>
      </c>
      <c r="E23" s="71"/>
      <c r="F23" s="71"/>
      <c r="G23" s="7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5.75" customHeight="1">
      <c r="A28" s="1"/>
      <c r="B28" s="151" t="s">
        <v>267</v>
      </c>
      <c r="C28" s="3"/>
      <c r="D28" s="3"/>
      <c r="E28" s="3"/>
      <c r="F28" s="3"/>
      <c r="G28" s="3"/>
      <c r="H28" s="3"/>
      <c r="I28" s="3"/>
      <c r="J28" s="3"/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5.75" customHeight="1">
      <c r="A29" s="1"/>
      <c r="B29" s="5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5.75" customHeight="1">
      <c r="A30" s="1"/>
      <c r="B30" s="7" t="s">
        <v>1</v>
      </c>
      <c r="C30" s="1"/>
      <c r="D30" s="8" t="s">
        <v>29</v>
      </c>
      <c r="E30" s="8" t="s">
        <v>3</v>
      </c>
      <c r="F30" s="8" t="s">
        <v>4</v>
      </c>
      <c r="G30" s="8" t="s">
        <v>8</v>
      </c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5.75" customHeight="1">
      <c r="A31" s="1"/>
      <c r="B31" s="28" t="s">
        <v>6</v>
      </c>
      <c r="C31" s="29"/>
      <c r="D31" s="30" t="s">
        <v>7</v>
      </c>
      <c r="E31" s="30" t="s">
        <v>7</v>
      </c>
      <c r="F31" s="30" t="s">
        <v>7</v>
      </c>
      <c r="G31" s="29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5.75" customHeight="1">
      <c r="A32" s="1"/>
      <c r="B32" s="14" t="s">
        <v>97</v>
      </c>
      <c r="C32" s="16"/>
      <c r="D32" s="15">
        <f>SUM(F42,F50,F58)</f>
        <v>41050</v>
      </c>
      <c r="E32" s="16"/>
      <c r="F32" s="16"/>
      <c r="G32" s="16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5.75" customHeight="1">
      <c r="A33" s="1"/>
      <c r="B33" s="18" t="s">
        <v>48</v>
      </c>
      <c r="C33" s="20"/>
      <c r="D33" s="19">
        <f>SUM(-D65,-F78)</f>
        <v>-39000</v>
      </c>
      <c r="E33" s="20"/>
      <c r="F33" s="20"/>
      <c r="G33" s="20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5.75" customHeight="1">
      <c r="A34" s="1"/>
      <c r="B34" s="31" t="s">
        <v>27</v>
      </c>
      <c r="C34" s="32"/>
      <c r="D34" s="33">
        <f>SUM(D32:D33)</f>
        <v>2050</v>
      </c>
      <c r="E34" s="32"/>
      <c r="F34" s="32"/>
      <c r="G34" s="32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5.75" customHeight="1">
      <c r="A35" s="1"/>
      <c r="B35" s="5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5.75" customHeight="1">
      <c r="A36" s="1"/>
      <c r="B36" s="5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5.75" customHeight="1">
      <c r="A37" s="1"/>
      <c r="B37" s="7" t="s">
        <v>216</v>
      </c>
      <c r="C37" s="1"/>
      <c r="D37" s="8" t="s">
        <v>29</v>
      </c>
      <c r="E37" s="1"/>
      <c r="F37" s="1"/>
      <c r="G37" s="8" t="s">
        <v>3</v>
      </c>
      <c r="H37" s="1"/>
      <c r="I37" s="1"/>
      <c r="J37" s="8" t="s">
        <v>4</v>
      </c>
      <c r="K37" s="76" t="s">
        <v>8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5.75" customHeight="1">
      <c r="A38" s="1"/>
      <c r="B38" s="36" t="s">
        <v>6</v>
      </c>
      <c r="C38" s="37"/>
      <c r="D38" s="38" t="s">
        <v>38</v>
      </c>
      <c r="E38" s="38" t="s">
        <v>39</v>
      </c>
      <c r="F38" s="38" t="s">
        <v>7</v>
      </c>
      <c r="G38" s="38" t="s">
        <v>38</v>
      </c>
      <c r="H38" s="38" t="s">
        <v>39</v>
      </c>
      <c r="I38" s="38" t="s">
        <v>7</v>
      </c>
      <c r="J38" s="38" t="s">
        <v>7</v>
      </c>
      <c r="K38" s="13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"/>
      <c r="B39" s="14" t="s">
        <v>116</v>
      </c>
      <c r="C39" s="16"/>
      <c r="D39" s="49">
        <v>100.0</v>
      </c>
      <c r="E39" s="50">
        <v>90.0</v>
      </c>
      <c r="F39" s="15">
        <f t="shared" ref="F39:F41" si="1">PRODUCT(D39:E39)</f>
        <v>9000</v>
      </c>
      <c r="G39" s="16"/>
      <c r="H39" s="16"/>
      <c r="I39" s="16"/>
      <c r="J39" s="16"/>
      <c r="K39" s="17" t="s">
        <v>272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"/>
      <c r="B40" s="39" t="s">
        <v>119</v>
      </c>
      <c r="C40" s="40"/>
      <c r="D40" s="51">
        <v>10.0</v>
      </c>
      <c r="E40" s="41">
        <v>90.0</v>
      </c>
      <c r="F40" s="43">
        <f t="shared" si="1"/>
        <v>900</v>
      </c>
      <c r="G40" s="40"/>
      <c r="H40" s="40"/>
      <c r="I40" s="40"/>
      <c r="J40" s="40"/>
      <c r="K40" s="5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5.75" customHeight="1">
      <c r="A41" s="1"/>
      <c r="B41" s="14" t="s">
        <v>120</v>
      </c>
      <c r="C41" s="16"/>
      <c r="D41" s="49">
        <v>5.0</v>
      </c>
      <c r="E41" s="50">
        <v>70.0</v>
      </c>
      <c r="F41" s="15">
        <f t="shared" si="1"/>
        <v>350</v>
      </c>
      <c r="G41" s="16"/>
      <c r="H41" s="16"/>
      <c r="I41" s="16"/>
      <c r="J41" s="16"/>
      <c r="K41" s="17" t="s">
        <v>273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5.75" customHeight="1">
      <c r="A42" s="1"/>
      <c r="B42" s="45" t="s">
        <v>27</v>
      </c>
      <c r="C42" s="46"/>
      <c r="D42" s="46"/>
      <c r="E42" s="53"/>
      <c r="F42" s="47">
        <f>SUM(F39:F41)</f>
        <v>10250</v>
      </c>
      <c r="G42" s="46"/>
      <c r="H42" s="46"/>
      <c r="I42" s="46"/>
      <c r="J42" s="46"/>
      <c r="K42" s="5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5.75" customHeight="1">
      <c r="A43" s="1"/>
      <c r="B43" s="5"/>
      <c r="C43" s="1"/>
      <c r="D43" s="1"/>
      <c r="E43" s="1"/>
      <c r="F43" s="1"/>
      <c r="G43" s="1"/>
      <c r="H43" s="1"/>
      <c r="I43" s="1"/>
      <c r="J43" s="1"/>
      <c r="K43" s="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5.75" customHeight="1">
      <c r="A44" s="1"/>
      <c r="B44" s="5"/>
      <c r="C44" s="1"/>
      <c r="D44" s="1"/>
      <c r="E44" s="1"/>
      <c r="F44" s="1"/>
      <c r="G44" s="1"/>
      <c r="H44" s="1"/>
      <c r="I44" s="1"/>
      <c r="J44" s="1"/>
      <c r="K44" s="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5.75" customHeight="1">
      <c r="A45" s="1"/>
      <c r="B45" s="7" t="s">
        <v>125</v>
      </c>
      <c r="C45" s="1"/>
      <c r="D45" s="8" t="s">
        <v>29</v>
      </c>
      <c r="E45" s="1"/>
      <c r="F45" s="1"/>
      <c r="G45" s="8" t="s">
        <v>3</v>
      </c>
      <c r="H45" s="1"/>
      <c r="I45" s="1"/>
      <c r="J45" s="8" t="s">
        <v>4</v>
      </c>
      <c r="K45" s="76" t="s">
        <v>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5.75" customHeight="1">
      <c r="A46" s="1"/>
      <c r="B46" s="36" t="s">
        <v>6</v>
      </c>
      <c r="C46" s="37"/>
      <c r="D46" s="38" t="s">
        <v>38</v>
      </c>
      <c r="E46" s="38" t="s">
        <v>39</v>
      </c>
      <c r="F46" s="38" t="s">
        <v>7</v>
      </c>
      <c r="G46" s="38" t="s">
        <v>38</v>
      </c>
      <c r="H46" s="38" t="s">
        <v>39</v>
      </c>
      <c r="I46" s="38" t="s">
        <v>7</v>
      </c>
      <c r="J46" s="38" t="s">
        <v>7</v>
      </c>
      <c r="K46" s="13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5.75" customHeight="1">
      <c r="A47" s="1"/>
      <c r="B47" s="14" t="s">
        <v>116</v>
      </c>
      <c r="C47" s="16"/>
      <c r="D47" s="49">
        <v>120.0</v>
      </c>
      <c r="E47" s="15">
        <v>140.0</v>
      </c>
      <c r="F47" s="15">
        <f t="shared" ref="F47:F49" si="2">PRODUCT(D47:E47)</f>
        <v>16800</v>
      </c>
      <c r="G47" s="16"/>
      <c r="H47" s="16"/>
      <c r="I47" s="16"/>
      <c r="J47" s="16"/>
      <c r="K47" s="17" t="s">
        <v>274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5.75" customHeight="1">
      <c r="A48" s="1"/>
      <c r="B48" s="39" t="s">
        <v>119</v>
      </c>
      <c r="C48" s="40"/>
      <c r="D48" s="51">
        <v>15.0</v>
      </c>
      <c r="E48" s="43">
        <v>140.0</v>
      </c>
      <c r="F48" s="43">
        <f t="shared" si="2"/>
        <v>2100</v>
      </c>
      <c r="G48" s="40"/>
      <c r="H48" s="40"/>
      <c r="I48" s="40"/>
      <c r="J48" s="40"/>
      <c r="K48" s="5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5.75" customHeight="1">
      <c r="A49" s="1"/>
      <c r="B49" s="14" t="s">
        <v>120</v>
      </c>
      <c r="C49" s="16"/>
      <c r="D49" s="49">
        <v>10.0</v>
      </c>
      <c r="E49" s="15">
        <v>120.0</v>
      </c>
      <c r="F49" s="15">
        <f t="shared" si="2"/>
        <v>1200</v>
      </c>
      <c r="G49" s="16"/>
      <c r="H49" s="16"/>
      <c r="I49" s="16"/>
      <c r="J49" s="16"/>
      <c r="K49" s="1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5.75" customHeight="1">
      <c r="A50" s="1"/>
      <c r="B50" s="45" t="s">
        <v>27</v>
      </c>
      <c r="C50" s="46"/>
      <c r="D50" s="46"/>
      <c r="E50" s="53"/>
      <c r="F50" s="47">
        <f>SUM(F47:F49)</f>
        <v>20100</v>
      </c>
      <c r="G50" s="46"/>
      <c r="H50" s="46"/>
      <c r="I50" s="46"/>
      <c r="J50" s="46"/>
      <c r="K50" s="5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5.75" customHeight="1">
      <c r="A51" s="1"/>
      <c r="B51" s="5"/>
      <c r="C51" s="1"/>
      <c r="D51" s="1"/>
      <c r="E51" s="1"/>
      <c r="F51" s="1"/>
      <c r="G51" s="1"/>
      <c r="H51" s="1"/>
      <c r="I51" s="1"/>
      <c r="J51" s="1"/>
      <c r="K51" s="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5.75" customHeight="1">
      <c r="A52" s="1"/>
      <c r="B52" s="5"/>
      <c r="C52" s="1"/>
      <c r="D52" s="1"/>
      <c r="E52" s="1"/>
      <c r="F52" s="1"/>
      <c r="G52" s="1"/>
      <c r="H52" s="1"/>
      <c r="I52" s="1"/>
      <c r="J52" s="1"/>
      <c r="K52" s="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5.75" customHeight="1">
      <c r="A53" s="1"/>
      <c r="B53" s="7" t="s">
        <v>275</v>
      </c>
      <c r="C53" s="1"/>
      <c r="D53" s="8" t="s">
        <v>29</v>
      </c>
      <c r="E53" s="1"/>
      <c r="F53" s="1"/>
      <c r="G53" s="8" t="s">
        <v>3</v>
      </c>
      <c r="H53" s="1"/>
      <c r="I53" s="1"/>
      <c r="J53" s="8" t="s">
        <v>4</v>
      </c>
      <c r="K53" s="76" t="s">
        <v>8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5.75" customHeight="1">
      <c r="A54" s="1"/>
      <c r="B54" s="36" t="s">
        <v>6</v>
      </c>
      <c r="C54" s="37"/>
      <c r="D54" s="38" t="s">
        <v>38</v>
      </c>
      <c r="E54" s="38" t="s">
        <v>39</v>
      </c>
      <c r="F54" s="38" t="s">
        <v>7</v>
      </c>
      <c r="G54" s="38" t="s">
        <v>38</v>
      </c>
      <c r="H54" s="38" t="s">
        <v>39</v>
      </c>
      <c r="I54" s="38" t="s">
        <v>7</v>
      </c>
      <c r="J54" s="38" t="s">
        <v>7</v>
      </c>
      <c r="K54" s="13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5.75" customHeight="1">
      <c r="A55" s="1"/>
      <c r="B55" s="14" t="s">
        <v>127</v>
      </c>
      <c r="C55" s="16"/>
      <c r="D55" s="49">
        <v>180.0</v>
      </c>
      <c r="E55" s="15">
        <v>30.0</v>
      </c>
      <c r="F55" s="15">
        <f t="shared" ref="F55:F57" si="3">PRODUCT(D55:E55)</f>
        <v>5400</v>
      </c>
      <c r="G55" s="16"/>
      <c r="H55" s="16"/>
      <c r="I55" s="16"/>
      <c r="J55" s="16"/>
      <c r="K55" s="1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5.75" customHeight="1">
      <c r="A56" s="1"/>
      <c r="B56" s="39" t="s">
        <v>276</v>
      </c>
      <c r="C56" s="40"/>
      <c r="D56" s="51">
        <v>30.0</v>
      </c>
      <c r="E56" s="43">
        <v>10.0</v>
      </c>
      <c r="F56" s="43">
        <f t="shared" si="3"/>
        <v>300</v>
      </c>
      <c r="G56" s="40"/>
      <c r="H56" s="40"/>
      <c r="I56" s="40"/>
      <c r="J56" s="40"/>
      <c r="K56" s="5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"/>
      <c r="B57" s="144" t="s">
        <v>277</v>
      </c>
      <c r="C57" s="128"/>
      <c r="D57" s="129">
        <v>200.0</v>
      </c>
      <c r="E57" s="130">
        <v>25.0</v>
      </c>
      <c r="F57" s="130">
        <f t="shared" si="3"/>
        <v>5000</v>
      </c>
      <c r="G57" s="128"/>
      <c r="H57" s="128"/>
      <c r="I57" s="128"/>
      <c r="J57" s="128"/>
      <c r="K57" s="143" t="s">
        <v>278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5.75" customHeight="1">
      <c r="A58" s="1"/>
      <c r="B58" s="45" t="s">
        <v>27</v>
      </c>
      <c r="C58" s="46"/>
      <c r="D58" s="46"/>
      <c r="E58" s="53"/>
      <c r="F58" s="47">
        <f>SUM(F55:F57)</f>
        <v>10700</v>
      </c>
      <c r="G58" s="46"/>
      <c r="H58" s="46"/>
      <c r="I58" s="46"/>
      <c r="J58" s="46"/>
      <c r="K58" s="5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5.75" customHeight="1">
      <c r="A59" s="1"/>
      <c r="B59" s="5"/>
      <c r="C59" s="1"/>
      <c r="D59" s="1"/>
      <c r="E59" s="1"/>
      <c r="F59" s="1"/>
      <c r="G59" s="1"/>
      <c r="H59" s="1"/>
      <c r="I59" s="1"/>
      <c r="J59" s="1"/>
      <c r="K59" s="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5.75" customHeight="1">
      <c r="A60" s="1"/>
      <c r="B60" s="5"/>
      <c r="C60" s="1"/>
      <c r="D60" s="1"/>
      <c r="E60" s="1"/>
      <c r="F60" s="1"/>
      <c r="G60" s="1"/>
      <c r="H60" s="1"/>
      <c r="I60" s="1"/>
      <c r="J60" s="1"/>
      <c r="K60" s="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5.75" customHeight="1">
      <c r="A61" s="1"/>
      <c r="B61" s="7" t="s">
        <v>31</v>
      </c>
      <c r="C61" s="1"/>
      <c r="D61" s="8" t="s">
        <v>29</v>
      </c>
      <c r="E61" s="8" t="s">
        <v>3</v>
      </c>
      <c r="F61" s="8" t="s">
        <v>4</v>
      </c>
      <c r="G61" s="8" t="s">
        <v>8</v>
      </c>
      <c r="H61" s="1"/>
      <c r="I61" s="1"/>
      <c r="J61" s="1"/>
      <c r="K61" s="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5.75" customHeight="1">
      <c r="A62" s="1"/>
      <c r="B62" s="57" t="s">
        <v>6</v>
      </c>
      <c r="C62" s="58"/>
      <c r="D62" s="59" t="s">
        <v>7</v>
      </c>
      <c r="E62" s="59" t="s">
        <v>7</v>
      </c>
      <c r="F62" s="59" t="s">
        <v>7</v>
      </c>
      <c r="G62" s="58"/>
      <c r="H62" s="1"/>
      <c r="I62" s="1"/>
      <c r="J62" s="1"/>
      <c r="K62" s="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5.75" customHeight="1">
      <c r="A63" s="1"/>
      <c r="B63" s="14" t="s">
        <v>135</v>
      </c>
      <c r="C63" s="16"/>
      <c r="D63" s="15">
        <v>8000.0</v>
      </c>
      <c r="E63" s="16"/>
      <c r="F63" s="16"/>
      <c r="G63" s="16" t="s">
        <v>279</v>
      </c>
      <c r="H63" s="1"/>
      <c r="I63" s="1"/>
      <c r="J63" s="1"/>
      <c r="K63" s="174" t="s">
        <v>280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5.75" customHeight="1">
      <c r="A64" s="1"/>
      <c r="B64" s="69" t="s">
        <v>181</v>
      </c>
      <c r="C64" s="62"/>
      <c r="D64" s="64">
        <v>1100.0</v>
      </c>
      <c r="E64" s="62"/>
      <c r="F64" s="62"/>
      <c r="G64" s="156" t="s">
        <v>281</v>
      </c>
      <c r="H64" s="1"/>
      <c r="I64" s="1"/>
      <c r="J64" s="1"/>
      <c r="K64" s="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5.75" customHeight="1">
      <c r="A65" s="1"/>
      <c r="B65" s="145" t="s">
        <v>27</v>
      </c>
      <c r="C65" s="146"/>
      <c r="D65" s="148">
        <f>SUM(D63:D64)</f>
        <v>9100</v>
      </c>
      <c r="E65" s="146"/>
      <c r="F65" s="146"/>
      <c r="G65" s="146"/>
      <c r="H65" s="1"/>
      <c r="I65" s="1"/>
      <c r="J65" s="1"/>
      <c r="K65" s="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5.75" customHeight="1">
      <c r="A66" s="1"/>
      <c r="B66" s="5"/>
      <c r="C66" s="1"/>
      <c r="D66" s="1"/>
      <c r="E66" s="1"/>
      <c r="F66" s="1"/>
      <c r="G66" s="1"/>
      <c r="H66" s="1"/>
      <c r="I66" s="1"/>
      <c r="J66" s="1"/>
      <c r="K66" s="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5.75" customHeight="1">
      <c r="A67" s="1"/>
      <c r="B67" s="5"/>
      <c r="C67" s="1"/>
      <c r="D67" s="1"/>
      <c r="E67" s="1"/>
      <c r="F67" s="1"/>
      <c r="G67" s="1"/>
      <c r="H67" s="1"/>
      <c r="I67" s="1"/>
      <c r="J67" s="1"/>
      <c r="K67" s="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5.75" customHeight="1">
      <c r="A68" s="1"/>
      <c r="B68" s="135" t="s">
        <v>282</v>
      </c>
      <c r="C68" s="1"/>
      <c r="D68" s="8" t="s">
        <v>29</v>
      </c>
      <c r="E68" s="1"/>
      <c r="F68" s="1"/>
      <c r="G68" s="8" t="s">
        <v>3</v>
      </c>
      <c r="H68" s="1"/>
      <c r="I68" s="1"/>
      <c r="J68" s="8" t="s">
        <v>4</v>
      </c>
      <c r="K68" s="76" t="s">
        <v>8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5.75" customHeight="1">
      <c r="A69" s="1"/>
      <c r="B69" s="57" t="s">
        <v>6</v>
      </c>
      <c r="C69" s="58"/>
      <c r="D69" s="59" t="s">
        <v>38</v>
      </c>
      <c r="E69" s="59" t="s">
        <v>39</v>
      </c>
      <c r="F69" s="59" t="s">
        <v>7</v>
      </c>
      <c r="G69" s="59" t="s">
        <v>38</v>
      </c>
      <c r="H69" s="59" t="s">
        <v>39</v>
      </c>
      <c r="I69" s="59" t="s">
        <v>7</v>
      </c>
      <c r="J69" s="59" t="s">
        <v>7</v>
      </c>
      <c r="K69" s="7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5.75" customHeight="1">
      <c r="A70" s="1"/>
      <c r="B70" s="14" t="s">
        <v>283</v>
      </c>
      <c r="C70" s="16"/>
      <c r="D70" s="49">
        <f>SUM(D39,D40,D41,D47,D48,D49)</f>
        <v>260</v>
      </c>
      <c r="E70" s="15">
        <v>50.0</v>
      </c>
      <c r="F70" s="15">
        <f t="shared" ref="F70:F77" si="4">PRODUCT(D70:E70)</f>
        <v>13000</v>
      </c>
      <c r="G70" s="16"/>
      <c r="H70" s="16"/>
      <c r="I70" s="16"/>
      <c r="J70" s="16"/>
      <c r="K70" s="17" t="s">
        <v>260</v>
      </c>
      <c r="L70" s="1" t="s">
        <v>284</v>
      </c>
      <c r="M70" s="1"/>
      <c r="N70" s="1" t="s">
        <v>285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5.75" customHeight="1">
      <c r="A71" s="1"/>
      <c r="B71" s="61" t="s">
        <v>105</v>
      </c>
      <c r="C71" s="62"/>
      <c r="D71" s="63">
        <f t="shared" ref="D71:D72" si="5">SUM(D47,D39)</f>
        <v>220</v>
      </c>
      <c r="E71" s="64">
        <v>40.0</v>
      </c>
      <c r="F71" s="64">
        <f t="shared" si="4"/>
        <v>8800</v>
      </c>
      <c r="G71" s="62"/>
      <c r="H71" s="62"/>
      <c r="I71" s="62"/>
      <c r="J71" s="62"/>
      <c r="K71" s="65" t="s">
        <v>286</v>
      </c>
      <c r="L71" s="1" t="s">
        <v>287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5.75" customHeight="1">
      <c r="A72" s="1"/>
      <c r="B72" s="14" t="s">
        <v>157</v>
      </c>
      <c r="C72" s="16"/>
      <c r="D72" s="49">
        <f t="shared" si="5"/>
        <v>25</v>
      </c>
      <c r="E72" s="15">
        <v>40.0</v>
      </c>
      <c r="F72" s="15">
        <f t="shared" si="4"/>
        <v>1000</v>
      </c>
      <c r="G72" s="16"/>
      <c r="H72" s="16"/>
      <c r="I72" s="16"/>
      <c r="J72" s="16"/>
      <c r="K72" s="1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5.75" customHeight="1">
      <c r="A73" s="1"/>
      <c r="B73" s="61" t="s">
        <v>106</v>
      </c>
      <c r="C73" s="62"/>
      <c r="D73" s="63">
        <f>SUM(D41,D49)</f>
        <v>15</v>
      </c>
      <c r="E73" s="64">
        <v>20.0</v>
      </c>
      <c r="F73" s="64">
        <f t="shared" si="4"/>
        <v>300</v>
      </c>
      <c r="G73" s="62"/>
      <c r="H73" s="62"/>
      <c r="I73" s="62"/>
      <c r="J73" s="62"/>
      <c r="K73" s="65" t="s">
        <v>288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5.75" customHeight="1">
      <c r="A74" s="1"/>
      <c r="B74" s="14" t="s">
        <v>127</v>
      </c>
      <c r="C74" s="16"/>
      <c r="D74" s="49">
        <f>QUOTIENT(D55,11)</f>
        <v>16</v>
      </c>
      <c r="E74" s="15">
        <v>200.0</v>
      </c>
      <c r="F74" s="15">
        <f t="shared" si="4"/>
        <v>3200</v>
      </c>
      <c r="G74" s="16"/>
      <c r="H74" s="16"/>
      <c r="I74" s="16"/>
      <c r="J74" s="16"/>
      <c r="K74" s="17" t="s">
        <v>289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5.75" customHeight="1">
      <c r="A75" s="1"/>
      <c r="B75" s="61" t="s">
        <v>129</v>
      </c>
      <c r="C75" s="62"/>
      <c r="D75" s="63">
        <f>D56</f>
        <v>30</v>
      </c>
      <c r="E75" s="64">
        <v>20.0</v>
      </c>
      <c r="F75" s="64">
        <f t="shared" si="4"/>
        <v>600</v>
      </c>
      <c r="G75" s="62"/>
      <c r="H75" s="62"/>
      <c r="I75" s="62"/>
      <c r="J75" s="62"/>
      <c r="K75" s="6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5.75" customHeight="1">
      <c r="A76" s="1"/>
      <c r="B76" s="14" t="s">
        <v>37</v>
      </c>
      <c r="C76" s="16"/>
      <c r="D76" s="49">
        <v>0.0</v>
      </c>
      <c r="E76" s="15">
        <v>0.0</v>
      </c>
      <c r="F76" s="15">
        <f t="shared" si="4"/>
        <v>0</v>
      </c>
      <c r="G76" s="16"/>
      <c r="H76" s="16"/>
      <c r="I76" s="16"/>
      <c r="J76" s="16"/>
      <c r="K76" s="1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5.75" customHeight="1">
      <c r="A77" s="1"/>
      <c r="B77" s="61" t="s">
        <v>290</v>
      </c>
      <c r="C77" s="62"/>
      <c r="D77" s="62">
        <v>200.0</v>
      </c>
      <c r="E77" s="64">
        <v>15.0</v>
      </c>
      <c r="F77" s="64">
        <f t="shared" si="4"/>
        <v>3000</v>
      </c>
      <c r="G77" s="62"/>
      <c r="H77" s="62"/>
      <c r="I77" s="62"/>
      <c r="J77" s="62"/>
      <c r="K77" s="6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5.75" customHeight="1">
      <c r="A78" s="1"/>
      <c r="B78" s="70" t="s">
        <v>27</v>
      </c>
      <c r="C78" s="71"/>
      <c r="D78" s="71"/>
      <c r="E78" s="72"/>
      <c r="F78" s="73">
        <f>SUM(F70:F77)</f>
        <v>29900</v>
      </c>
      <c r="G78" s="71"/>
      <c r="H78" s="71"/>
      <c r="I78" s="71"/>
      <c r="J78" s="71"/>
      <c r="K78" s="7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 t="s">
        <v>291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5.75" customHeight="1">
      <c r="A84" s="1"/>
      <c r="B84" s="2" t="s">
        <v>268</v>
      </c>
      <c r="C84" s="3"/>
      <c r="D84" s="3"/>
      <c r="E84" s="3"/>
      <c r="F84" s="3"/>
      <c r="G84" s="3"/>
      <c r="H84" s="3"/>
      <c r="I84" s="3"/>
      <c r="J84" s="3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5.75" customHeight="1">
      <c r="A85" s="1"/>
      <c r="B85" s="5"/>
      <c r="C85" s="1"/>
      <c r="D85" s="1"/>
      <c r="E85" s="1"/>
      <c r="F85" s="1"/>
      <c r="G85" s="1"/>
      <c r="H85" s="1"/>
      <c r="I85" s="1"/>
      <c r="J85" s="1"/>
      <c r="K85" s="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5.75" customHeight="1">
      <c r="A86" s="1"/>
      <c r="B86" s="7" t="s">
        <v>1</v>
      </c>
      <c r="C86" s="1"/>
      <c r="D86" s="8" t="s">
        <v>29</v>
      </c>
      <c r="E86" s="8" t="s">
        <v>3</v>
      </c>
      <c r="F86" s="8" t="s">
        <v>4</v>
      </c>
      <c r="G86" s="8" t="s">
        <v>8</v>
      </c>
      <c r="H86" s="1"/>
      <c r="I86" s="1"/>
      <c r="J86" s="1"/>
      <c r="K86" s="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5.75" customHeight="1">
      <c r="A87" s="1"/>
      <c r="B87" s="28" t="s">
        <v>6</v>
      </c>
      <c r="C87" s="29"/>
      <c r="D87" s="30" t="s">
        <v>7</v>
      </c>
      <c r="E87" s="30" t="s">
        <v>7</v>
      </c>
      <c r="F87" s="30" t="s">
        <v>7</v>
      </c>
      <c r="G87" s="29"/>
      <c r="H87" s="1"/>
      <c r="I87" s="1"/>
      <c r="J87" s="1"/>
      <c r="K87" s="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5.75" customHeight="1">
      <c r="A88" s="1"/>
      <c r="B88" s="14" t="s">
        <v>97</v>
      </c>
      <c r="C88" s="16"/>
      <c r="D88" s="15">
        <f>SUM(F100,F108,F119)</f>
        <v>94544</v>
      </c>
      <c r="E88" s="16"/>
      <c r="F88" s="16"/>
      <c r="G88" s="16"/>
      <c r="H88" s="1"/>
      <c r="I88" s="1"/>
      <c r="J88" s="1"/>
      <c r="K88" s="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5.75" customHeight="1">
      <c r="A89" s="1"/>
      <c r="B89" s="18" t="s">
        <v>48</v>
      </c>
      <c r="C89" s="20"/>
      <c r="D89" s="19">
        <f>SUM(-D130,-F147)</f>
        <v>-123964</v>
      </c>
      <c r="E89" s="20"/>
      <c r="F89" s="20"/>
      <c r="G89" s="20"/>
      <c r="H89" s="1"/>
      <c r="I89" s="1"/>
      <c r="J89" s="1"/>
      <c r="K89" s="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5.75" customHeight="1">
      <c r="A90" s="1"/>
      <c r="B90" s="31" t="s">
        <v>27</v>
      </c>
      <c r="C90" s="32"/>
      <c r="D90" s="33">
        <f>SUM(D88:D89)</f>
        <v>-29420</v>
      </c>
      <c r="E90" s="32"/>
      <c r="F90" s="32"/>
      <c r="G90" s="32"/>
      <c r="H90" s="1"/>
      <c r="I90" s="1"/>
      <c r="J90" s="1"/>
      <c r="K90" s="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5.75" customHeight="1">
      <c r="A91" s="1"/>
      <c r="B91" s="5"/>
      <c r="C91" s="1"/>
      <c r="D91" s="1"/>
      <c r="E91" s="1"/>
      <c r="F91" s="1"/>
      <c r="G91" s="1"/>
      <c r="H91" s="1"/>
      <c r="I91" s="1"/>
      <c r="J91" s="1"/>
      <c r="K91" s="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5.75" customHeight="1">
      <c r="A92" s="1"/>
      <c r="B92" s="5"/>
      <c r="C92" s="1"/>
      <c r="D92" s="1"/>
      <c r="E92" s="1"/>
      <c r="F92" s="1"/>
      <c r="G92" s="1"/>
      <c r="H92" s="1"/>
      <c r="I92" s="1"/>
      <c r="J92" s="1"/>
      <c r="K92" s="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5.75" customHeight="1">
      <c r="A93" s="1"/>
      <c r="B93" s="7" t="s">
        <v>216</v>
      </c>
      <c r="C93" s="1"/>
      <c r="D93" s="8" t="s">
        <v>29</v>
      </c>
      <c r="E93" s="1"/>
      <c r="F93" s="1"/>
      <c r="G93" s="8" t="s">
        <v>3</v>
      </c>
      <c r="H93" s="1"/>
      <c r="I93" s="1"/>
      <c r="J93" s="8" t="s">
        <v>4</v>
      </c>
      <c r="K93" s="76" t="s">
        <v>8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5.75" customHeight="1">
      <c r="A94" s="1"/>
      <c r="B94" s="36" t="s">
        <v>6</v>
      </c>
      <c r="C94" s="37"/>
      <c r="D94" s="38" t="s">
        <v>38</v>
      </c>
      <c r="E94" s="38" t="s">
        <v>39</v>
      </c>
      <c r="F94" s="38" t="s">
        <v>7</v>
      </c>
      <c r="G94" s="38" t="s">
        <v>38</v>
      </c>
      <c r="H94" s="38" t="s">
        <v>39</v>
      </c>
      <c r="I94" s="38" t="s">
        <v>7</v>
      </c>
      <c r="J94" s="38" t="s">
        <v>7</v>
      </c>
      <c r="K94" s="13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5.75" customHeight="1">
      <c r="A95" s="1"/>
      <c r="B95" s="14" t="s">
        <v>116</v>
      </c>
      <c r="C95" s="16"/>
      <c r="D95" s="49">
        <v>104.0</v>
      </c>
      <c r="E95" s="50">
        <v>210.0</v>
      </c>
      <c r="F95" s="15">
        <f t="shared" ref="F95:F99" si="6">PRODUCT(D95:E95)</f>
        <v>21840</v>
      </c>
      <c r="G95" s="16"/>
      <c r="H95" s="16"/>
      <c r="I95" s="16"/>
      <c r="J95" s="16"/>
      <c r="K95" s="17" t="s">
        <v>292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5.75" customHeight="1">
      <c r="A96" s="1"/>
      <c r="B96" s="39" t="s">
        <v>119</v>
      </c>
      <c r="C96" s="40"/>
      <c r="D96" s="51">
        <v>10.0</v>
      </c>
      <c r="E96" s="41">
        <v>210.0</v>
      </c>
      <c r="F96" s="43">
        <f t="shared" si="6"/>
        <v>2100</v>
      </c>
      <c r="G96" s="40"/>
      <c r="H96" s="40"/>
      <c r="I96" s="40"/>
      <c r="J96" s="40"/>
      <c r="K96" s="5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5.75" customHeight="1">
      <c r="A97" s="1"/>
      <c r="B97" s="14" t="s">
        <v>120</v>
      </c>
      <c r="C97" s="16"/>
      <c r="D97" s="49">
        <f>6</f>
        <v>6</v>
      </c>
      <c r="E97" s="50">
        <v>124.0</v>
      </c>
      <c r="F97" s="15">
        <f t="shared" si="6"/>
        <v>744</v>
      </c>
      <c r="G97" s="16"/>
      <c r="H97" s="16"/>
      <c r="I97" s="16"/>
      <c r="J97" s="16"/>
      <c r="K97" s="17" t="s">
        <v>293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5.75" customHeight="1">
      <c r="A98" s="1"/>
      <c r="B98" s="39" t="s">
        <v>121</v>
      </c>
      <c r="C98" s="40"/>
      <c r="D98" s="51">
        <v>3.0</v>
      </c>
      <c r="E98" s="41">
        <v>220.0</v>
      </c>
      <c r="F98" s="43">
        <f t="shared" si="6"/>
        <v>660</v>
      </c>
      <c r="G98" s="40"/>
      <c r="H98" s="40"/>
      <c r="I98" s="40"/>
      <c r="J98" s="40"/>
      <c r="K98" s="5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5.75" customHeight="1">
      <c r="A99" s="1"/>
      <c r="B99" s="14" t="s">
        <v>122</v>
      </c>
      <c r="C99" s="16"/>
      <c r="D99" s="49">
        <v>0.0</v>
      </c>
      <c r="E99" s="50">
        <v>220.0</v>
      </c>
      <c r="F99" s="15">
        <f t="shared" si="6"/>
        <v>0</v>
      </c>
      <c r="G99" s="16"/>
      <c r="H99" s="16"/>
      <c r="I99" s="16"/>
      <c r="J99" s="16"/>
      <c r="K99" s="1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5.75" customHeight="1">
      <c r="A100" s="1"/>
      <c r="B100" s="45" t="s">
        <v>27</v>
      </c>
      <c r="C100" s="46"/>
      <c r="D100" s="46"/>
      <c r="E100" s="53"/>
      <c r="F100" s="47">
        <f>SUM(F95:F99)</f>
        <v>25344</v>
      </c>
      <c r="G100" s="46"/>
      <c r="H100" s="46"/>
      <c r="I100" s="46"/>
      <c r="J100" s="46"/>
      <c r="K100" s="5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5.75" customHeight="1">
      <c r="A101" s="1"/>
      <c r="B101" s="5"/>
      <c r="C101" s="1"/>
      <c r="D101" s="1"/>
      <c r="E101" s="1"/>
      <c r="F101" s="1"/>
      <c r="G101" s="1"/>
      <c r="H101" s="1"/>
      <c r="I101" s="1"/>
      <c r="J101" s="1"/>
      <c r="K101" s="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5.75" customHeight="1">
      <c r="A102" s="1"/>
      <c r="B102" s="5"/>
      <c r="C102" s="1"/>
      <c r="D102" s="1"/>
      <c r="E102" s="1"/>
      <c r="F102" s="1"/>
      <c r="G102" s="1"/>
      <c r="H102" s="1"/>
      <c r="I102" s="1"/>
      <c r="J102" s="1"/>
      <c r="K102" s="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5.75" customHeight="1">
      <c r="A103" s="1"/>
      <c r="B103" s="7" t="s">
        <v>125</v>
      </c>
      <c r="C103" s="1"/>
      <c r="D103" s="8" t="s">
        <v>29</v>
      </c>
      <c r="E103" s="1"/>
      <c r="F103" s="1"/>
      <c r="G103" s="8" t="s">
        <v>3</v>
      </c>
      <c r="H103" s="1"/>
      <c r="I103" s="1"/>
      <c r="J103" s="8" t="s">
        <v>4</v>
      </c>
      <c r="K103" s="76" t="s">
        <v>8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5.75" customHeight="1">
      <c r="A104" s="1"/>
      <c r="B104" s="36" t="s">
        <v>6</v>
      </c>
      <c r="C104" s="37"/>
      <c r="D104" s="38" t="s">
        <v>38</v>
      </c>
      <c r="E104" s="38" t="s">
        <v>39</v>
      </c>
      <c r="F104" s="38" t="s">
        <v>7</v>
      </c>
      <c r="G104" s="38" t="s">
        <v>38</v>
      </c>
      <c r="H104" s="38" t="s">
        <v>39</v>
      </c>
      <c r="I104" s="38" t="s">
        <v>7</v>
      </c>
      <c r="J104" s="38" t="s">
        <v>7</v>
      </c>
      <c r="K104" s="136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5.75" customHeight="1">
      <c r="A105" s="1"/>
      <c r="B105" s="14" t="s">
        <v>116</v>
      </c>
      <c r="C105" s="16"/>
      <c r="D105" s="49">
        <v>120.0</v>
      </c>
      <c r="E105" s="15">
        <v>250.0</v>
      </c>
      <c r="F105" s="15">
        <f t="shared" ref="F105:F107" si="7">PRODUCT(D105:E105)</f>
        <v>30000</v>
      </c>
      <c r="G105" s="16"/>
      <c r="H105" s="16"/>
      <c r="I105" s="16"/>
      <c r="J105" s="16"/>
      <c r="K105" s="17" t="s">
        <v>294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5.75" customHeight="1">
      <c r="A106" s="1"/>
      <c r="B106" s="39" t="s">
        <v>119</v>
      </c>
      <c r="C106" s="40"/>
      <c r="D106" s="51">
        <v>8.0</v>
      </c>
      <c r="E106" s="43">
        <v>250.0</v>
      </c>
      <c r="F106" s="43">
        <f t="shared" si="7"/>
        <v>2000</v>
      </c>
      <c r="G106" s="40"/>
      <c r="H106" s="40"/>
      <c r="I106" s="40"/>
      <c r="J106" s="40"/>
      <c r="K106" s="5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5.75" customHeight="1">
      <c r="A107" s="1"/>
      <c r="B107" s="14" t="s">
        <v>120</v>
      </c>
      <c r="C107" s="16"/>
      <c r="D107" s="49">
        <v>5.0</v>
      </c>
      <c r="E107" s="15">
        <v>200.0</v>
      </c>
      <c r="F107" s="15">
        <f t="shared" si="7"/>
        <v>1000</v>
      </c>
      <c r="G107" s="16"/>
      <c r="H107" s="16"/>
      <c r="I107" s="16"/>
      <c r="J107" s="16"/>
      <c r="K107" s="1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5.75" customHeight="1">
      <c r="A108" s="1"/>
      <c r="B108" s="45" t="s">
        <v>27</v>
      </c>
      <c r="C108" s="46"/>
      <c r="D108" s="46"/>
      <c r="E108" s="53"/>
      <c r="F108" s="47">
        <f>SUM(F105:F107)</f>
        <v>33000</v>
      </c>
      <c r="G108" s="46"/>
      <c r="H108" s="46"/>
      <c r="I108" s="46"/>
      <c r="J108" s="46"/>
      <c r="K108" s="5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5.75" customHeight="1">
      <c r="A109" s="1"/>
      <c r="B109" s="5"/>
      <c r="C109" s="1"/>
      <c r="D109" s="1"/>
      <c r="E109" s="1"/>
      <c r="F109" s="1"/>
      <c r="G109" s="1"/>
      <c r="H109" s="1"/>
      <c r="I109" s="1"/>
      <c r="J109" s="1"/>
      <c r="K109" s="6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5.75" customHeight="1">
      <c r="A110" s="1"/>
      <c r="B110" s="5"/>
      <c r="C110" s="1"/>
      <c r="D110" s="1"/>
      <c r="E110" s="1"/>
      <c r="F110" s="1"/>
      <c r="G110" s="1"/>
      <c r="H110" s="1"/>
      <c r="I110" s="1"/>
      <c r="J110" s="1"/>
      <c r="K110" s="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5.75" customHeight="1">
      <c r="A111" s="1"/>
      <c r="B111" s="135" t="s">
        <v>126</v>
      </c>
      <c r="C111" s="1"/>
      <c r="D111" s="8" t="s">
        <v>29</v>
      </c>
      <c r="E111" s="1"/>
      <c r="F111" s="1"/>
      <c r="G111" s="8" t="s">
        <v>3</v>
      </c>
      <c r="H111" s="1"/>
      <c r="I111" s="1"/>
      <c r="J111" s="8" t="s">
        <v>4</v>
      </c>
      <c r="K111" s="76" t="s">
        <v>8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5.75" customHeight="1">
      <c r="A112" s="1"/>
      <c r="B112" s="36" t="s">
        <v>6</v>
      </c>
      <c r="C112" s="37"/>
      <c r="D112" s="38" t="s">
        <v>38</v>
      </c>
      <c r="E112" s="38" t="s">
        <v>39</v>
      </c>
      <c r="F112" s="38" t="s">
        <v>7</v>
      </c>
      <c r="G112" s="38" t="s">
        <v>38</v>
      </c>
      <c r="H112" s="38" t="s">
        <v>39</v>
      </c>
      <c r="I112" s="38" t="s">
        <v>7</v>
      </c>
      <c r="J112" s="38" t="s">
        <v>7</v>
      </c>
      <c r="K112" s="136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5.75" customHeight="1">
      <c r="A113" s="1"/>
      <c r="B113" s="14" t="s">
        <v>127</v>
      </c>
      <c r="C113" s="16"/>
      <c r="D113" s="49">
        <v>200.0</v>
      </c>
      <c r="E113" s="15">
        <v>30.0</v>
      </c>
      <c r="F113" s="15">
        <f t="shared" ref="F113:F118" si="8">PRODUCT(D113:E113)</f>
        <v>6000</v>
      </c>
      <c r="G113" s="16"/>
      <c r="H113" s="16"/>
      <c r="I113" s="16"/>
      <c r="J113" s="16"/>
      <c r="K113" s="1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5.75" customHeight="1">
      <c r="A114" s="1"/>
      <c r="B114" s="39" t="s">
        <v>129</v>
      </c>
      <c r="C114" s="40"/>
      <c r="D114" s="51">
        <v>20.0</v>
      </c>
      <c r="E114" s="43">
        <f>10</f>
        <v>10</v>
      </c>
      <c r="F114" s="43">
        <f t="shared" si="8"/>
        <v>200</v>
      </c>
      <c r="G114" s="40"/>
      <c r="H114" s="40"/>
      <c r="I114" s="40"/>
      <c r="J114" s="40"/>
      <c r="K114" s="5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5.75" customHeight="1">
      <c r="A115" s="1"/>
      <c r="B115" s="14" t="s">
        <v>128</v>
      </c>
      <c r="C115" s="16"/>
      <c r="D115" s="49">
        <v>100.0</v>
      </c>
      <c r="E115" s="15">
        <v>30.0</v>
      </c>
      <c r="F115" s="15">
        <f t="shared" si="8"/>
        <v>3000</v>
      </c>
      <c r="G115" s="16"/>
      <c r="H115" s="16"/>
      <c r="I115" s="16"/>
      <c r="J115" s="16"/>
      <c r="K115" s="1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5.75" customHeight="1">
      <c r="A116" s="1"/>
      <c r="B116" s="39" t="s">
        <v>131</v>
      </c>
      <c r="C116" s="40"/>
      <c r="D116" s="51">
        <v>20.0</v>
      </c>
      <c r="E116" s="43">
        <f>10</f>
        <v>10</v>
      </c>
      <c r="F116" s="43">
        <f t="shared" si="8"/>
        <v>200</v>
      </c>
      <c r="G116" s="40"/>
      <c r="H116" s="40"/>
      <c r="I116" s="40"/>
      <c r="J116" s="40"/>
      <c r="K116" s="5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5.75" customHeight="1">
      <c r="A117" s="1"/>
      <c r="B117" s="14" t="s">
        <v>295</v>
      </c>
      <c r="C117" s="16"/>
      <c r="D117" s="49">
        <v>545.0</v>
      </c>
      <c r="E117" s="15">
        <v>40.0</v>
      </c>
      <c r="F117" s="15">
        <f t="shared" si="8"/>
        <v>21800</v>
      </c>
      <c r="G117" s="16"/>
      <c r="H117" s="16"/>
      <c r="I117" s="16"/>
      <c r="J117" s="16"/>
      <c r="K117" s="1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5.75" customHeight="1">
      <c r="A118" s="1"/>
      <c r="B118" s="39" t="s">
        <v>296</v>
      </c>
      <c r="C118" s="40"/>
      <c r="D118" s="51">
        <v>100.0</v>
      </c>
      <c r="E118" s="43">
        <v>50.0</v>
      </c>
      <c r="F118" s="43">
        <f t="shared" si="8"/>
        <v>5000</v>
      </c>
      <c r="G118" s="40"/>
      <c r="H118" s="40"/>
      <c r="I118" s="40"/>
      <c r="J118" s="40"/>
      <c r="K118" s="56" t="s">
        <v>297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5.75" customHeight="1">
      <c r="A119" s="1"/>
      <c r="B119" s="45" t="s">
        <v>27</v>
      </c>
      <c r="C119" s="46"/>
      <c r="D119" s="46"/>
      <c r="E119" s="53"/>
      <c r="F119" s="47">
        <f>SUM(F113:F118)</f>
        <v>36200</v>
      </c>
      <c r="G119" s="46"/>
      <c r="H119" s="46"/>
      <c r="I119" s="46"/>
      <c r="J119" s="46"/>
      <c r="K119" s="5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5.75" customHeight="1">
      <c r="A120" s="1"/>
      <c r="B120" s="5"/>
      <c r="C120" s="1"/>
      <c r="D120" s="1"/>
      <c r="E120" s="1"/>
      <c r="F120" s="1"/>
      <c r="G120" s="1"/>
      <c r="H120" s="1"/>
      <c r="I120" s="1"/>
      <c r="J120" s="1"/>
      <c r="K120" s="6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5.75" customHeight="1">
      <c r="A121" s="1"/>
      <c r="B121" s="5"/>
      <c r="C121" s="1"/>
      <c r="D121" s="1"/>
      <c r="E121" s="1"/>
      <c r="F121" s="1"/>
      <c r="G121" s="1"/>
      <c r="H121" s="1"/>
      <c r="I121" s="1"/>
      <c r="J121" s="1" t="s">
        <v>298</v>
      </c>
      <c r="K121" s="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5.75" customHeight="1">
      <c r="A122" s="1"/>
      <c r="B122" s="7" t="s">
        <v>31</v>
      </c>
      <c r="C122" s="1"/>
      <c r="D122" s="8" t="s">
        <v>29</v>
      </c>
      <c r="E122" s="8" t="s">
        <v>3</v>
      </c>
      <c r="F122" s="8" t="s">
        <v>4</v>
      </c>
      <c r="G122" s="8" t="s">
        <v>8</v>
      </c>
      <c r="H122" s="1"/>
      <c r="I122" s="1"/>
      <c r="J122" s="1" t="s">
        <v>299</v>
      </c>
      <c r="K122" s="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5.75" customHeight="1">
      <c r="A123" s="1"/>
      <c r="B123" s="57" t="s">
        <v>6</v>
      </c>
      <c r="C123" s="58"/>
      <c r="D123" s="59" t="s">
        <v>7</v>
      </c>
      <c r="E123" s="59" t="s">
        <v>7</v>
      </c>
      <c r="F123" s="59" t="s">
        <v>7</v>
      </c>
      <c r="G123" s="58"/>
      <c r="H123" s="1"/>
      <c r="I123" s="1"/>
      <c r="J123" s="1"/>
      <c r="K123" s="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5.75" customHeight="1">
      <c r="A124" s="1"/>
      <c r="B124" s="14" t="s">
        <v>135</v>
      </c>
      <c r="C124" s="16"/>
      <c r="D124" s="15">
        <f>31000</f>
        <v>31000</v>
      </c>
      <c r="E124" s="15"/>
      <c r="F124" s="66"/>
      <c r="G124" s="16" t="s">
        <v>300</v>
      </c>
      <c r="H124" s="1"/>
      <c r="I124" s="1" t="s">
        <v>301</v>
      </c>
      <c r="J124" s="1"/>
      <c r="K124" s="6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5.75" customHeight="1">
      <c r="A125" s="1"/>
      <c r="B125" s="61" t="s">
        <v>137</v>
      </c>
      <c r="C125" s="62"/>
      <c r="D125" s="64">
        <v>2000.0</v>
      </c>
      <c r="E125" s="64"/>
      <c r="F125" s="62"/>
      <c r="G125" s="62"/>
      <c r="H125" s="1"/>
      <c r="I125" s="1"/>
      <c r="J125" s="1"/>
      <c r="K125" s="6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5.75" customHeight="1">
      <c r="A126" s="1"/>
      <c r="B126" s="14" t="s">
        <v>139</v>
      </c>
      <c r="C126" s="16"/>
      <c r="D126" s="15">
        <v>2000.0</v>
      </c>
      <c r="E126" s="15"/>
      <c r="F126" s="16"/>
      <c r="G126" s="16"/>
      <c r="H126" s="1"/>
      <c r="I126" s="1"/>
      <c r="J126" s="1"/>
      <c r="K126" s="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5.75" customHeight="1">
      <c r="A127" s="1"/>
      <c r="B127" s="61" t="s">
        <v>141</v>
      </c>
      <c r="C127" s="62"/>
      <c r="D127" s="64">
        <v>7280.0</v>
      </c>
      <c r="E127" s="64"/>
      <c r="F127" s="62"/>
      <c r="G127" s="175" t="s">
        <v>302</v>
      </c>
      <c r="H127" s="1"/>
      <c r="I127" s="1"/>
      <c r="J127" s="1"/>
      <c r="K127" s="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5.75" customHeight="1">
      <c r="A128" s="1"/>
      <c r="B128" s="44" t="s">
        <v>146</v>
      </c>
      <c r="C128" s="16"/>
      <c r="D128" s="15">
        <v>900.0</v>
      </c>
      <c r="E128" s="15"/>
      <c r="F128" s="16"/>
      <c r="G128" s="16"/>
      <c r="H128" s="1"/>
      <c r="I128" s="1"/>
      <c r="J128" s="1"/>
      <c r="K128" s="6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5.75" customHeight="1">
      <c r="A129" s="1"/>
      <c r="B129" s="69" t="s">
        <v>149</v>
      </c>
      <c r="C129" s="62"/>
      <c r="D129" s="64">
        <v>700.0</v>
      </c>
      <c r="E129" s="64"/>
      <c r="F129" s="62"/>
      <c r="G129" s="62" t="s">
        <v>303</v>
      </c>
      <c r="H129" s="1"/>
      <c r="I129" s="1"/>
      <c r="J129" s="1"/>
      <c r="K129" s="6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5.75" customHeight="1">
      <c r="A130" s="1"/>
      <c r="B130" s="145" t="s">
        <v>27</v>
      </c>
      <c r="C130" s="146"/>
      <c r="D130" s="148">
        <f>SUM(D124:D129)</f>
        <v>43880</v>
      </c>
      <c r="E130" s="148"/>
      <c r="F130" s="146"/>
      <c r="G130" s="146"/>
      <c r="H130" s="1"/>
      <c r="I130" s="1"/>
      <c r="J130" s="1"/>
      <c r="K130" s="6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5.75" customHeight="1">
      <c r="A131" s="1"/>
      <c r="B131" s="5"/>
      <c r="C131" s="1"/>
      <c r="D131" s="1"/>
      <c r="E131" s="1"/>
      <c r="F131" s="1"/>
      <c r="G131" s="1"/>
      <c r="H131" s="1"/>
      <c r="I131" s="1"/>
      <c r="J131" s="1"/>
      <c r="K131" s="6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5.75" customHeight="1">
      <c r="A132" s="1"/>
      <c r="B132" s="5"/>
      <c r="C132" s="1"/>
      <c r="D132" s="1"/>
      <c r="E132" s="1"/>
      <c r="F132" s="1"/>
      <c r="G132" s="1"/>
      <c r="H132" s="1"/>
      <c r="I132" s="1"/>
      <c r="J132" s="1"/>
      <c r="K132" s="6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5.75" customHeight="1">
      <c r="A133" s="1"/>
      <c r="B133" s="135" t="s">
        <v>282</v>
      </c>
      <c r="C133" s="1"/>
      <c r="D133" s="8" t="s">
        <v>29</v>
      </c>
      <c r="E133" s="1"/>
      <c r="F133" s="1"/>
      <c r="G133" s="8" t="s">
        <v>3</v>
      </c>
      <c r="H133" s="1"/>
      <c r="I133" s="1"/>
      <c r="J133" s="8" t="s">
        <v>4</v>
      </c>
      <c r="K133" s="76" t="s">
        <v>8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5.75" customHeight="1">
      <c r="A134" s="1"/>
      <c r="B134" s="57" t="s">
        <v>6</v>
      </c>
      <c r="C134" s="58"/>
      <c r="D134" s="59" t="s">
        <v>38</v>
      </c>
      <c r="E134" s="59" t="s">
        <v>39</v>
      </c>
      <c r="F134" s="59" t="s">
        <v>7</v>
      </c>
      <c r="G134" s="59" t="s">
        <v>38</v>
      </c>
      <c r="H134" s="59" t="s">
        <v>39</v>
      </c>
      <c r="I134" s="59" t="s">
        <v>7</v>
      </c>
      <c r="J134" s="59" t="s">
        <v>7</v>
      </c>
      <c r="K134" s="7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5.75" customHeight="1">
      <c r="A135" s="1"/>
      <c r="B135" s="14" t="s">
        <v>152</v>
      </c>
      <c r="C135" s="16"/>
      <c r="D135" s="49">
        <f>SUM(D95,D96,D97,D98,D99,D105,D106,D107)</f>
        <v>256</v>
      </c>
      <c r="E135" s="15">
        <v>80.0</v>
      </c>
      <c r="F135" s="15">
        <f t="shared" ref="F135:F146" si="9">PRODUCT(D135:E135)</f>
        <v>20480</v>
      </c>
      <c r="G135" s="16"/>
      <c r="H135" s="16"/>
      <c r="I135" s="16"/>
      <c r="J135" s="16"/>
      <c r="K135" s="17" t="s">
        <v>304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5.75" customHeight="1">
      <c r="A136" s="1"/>
      <c r="B136" s="61" t="s">
        <v>105</v>
      </c>
      <c r="C136" s="62"/>
      <c r="D136" s="63">
        <f>SUM(D95,D98,D105)</f>
        <v>227</v>
      </c>
      <c r="E136" s="64">
        <v>106.0</v>
      </c>
      <c r="F136" s="64">
        <f t="shared" si="9"/>
        <v>24062</v>
      </c>
      <c r="G136" s="62"/>
      <c r="H136" s="62"/>
      <c r="I136" s="62"/>
      <c r="J136" s="62"/>
      <c r="K136" s="6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5.75" customHeight="1">
      <c r="A137" s="1"/>
      <c r="B137" s="44" t="s">
        <v>290</v>
      </c>
      <c r="C137" s="16"/>
      <c r="D137" s="49">
        <v>1.0</v>
      </c>
      <c r="E137" s="15">
        <v>18000.0</v>
      </c>
      <c r="F137" s="15">
        <f t="shared" si="9"/>
        <v>18000</v>
      </c>
      <c r="G137" s="16"/>
      <c r="H137" s="16"/>
      <c r="I137" s="16"/>
      <c r="J137" s="16"/>
      <c r="K137" s="17" t="s">
        <v>305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5.75" customHeight="1">
      <c r="A138" s="1"/>
      <c r="B138" s="69" t="s">
        <v>306</v>
      </c>
      <c r="C138" s="62"/>
      <c r="D138" s="63">
        <v>1.0</v>
      </c>
      <c r="E138" s="64">
        <v>1000.0</v>
      </c>
      <c r="F138" s="64">
        <f t="shared" si="9"/>
        <v>1000</v>
      </c>
      <c r="G138" s="62"/>
      <c r="H138" s="62"/>
      <c r="I138" s="62">
        <f>740</f>
        <v>740</v>
      </c>
      <c r="J138" s="62"/>
      <c r="K138" s="65" t="s">
        <v>307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5.75" customHeight="1">
      <c r="A139" s="1"/>
      <c r="B139" s="14" t="s">
        <v>308</v>
      </c>
      <c r="C139" s="16"/>
      <c r="D139" s="49">
        <f>SUM(D96,D99,D106)</f>
        <v>18</v>
      </c>
      <c r="E139" s="15">
        <v>80.0</v>
      </c>
      <c r="F139" s="15">
        <f t="shared" si="9"/>
        <v>1440</v>
      </c>
      <c r="G139" s="16"/>
      <c r="H139" s="16"/>
      <c r="I139" s="16"/>
      <c r="J139" s="16"/>
      <c r="K139" s="1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5.75" customHeight="1">
      <c r="A140" s="1"/>
      <c r="B140" s="61" t="s">
        <v>106</v>
      </c>
      <c r="C140" s="62"/>
      <c r="D140" s="63">
        <f>SUM(D97,D107)</f>
        <v>11</v>
      </c>
      <c r="E140" s="64">
        <v>20.0</v>
      </c>
      <c r="F140" s="64">
        <f t="shared" si="9"/>
        <v>220</v>
      </c>
      <c r="G140" s="62"/>
      <c r="H140" s="62"/>
      <c r="I140" s="62"/>
      <c r="J140" s="62"/>
      <c r="K140" s="6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5.75" customHeight="1">
      <c r="A141" s="1"/>
      <c r="B141" s="14" t="s">
        <v>309</v>
      </c>
      <c r="C141" s="16"/>
      <c r="D141" s="49">
        <v>13.0</v>
      </c>
      <c r="E141" s="15">
        <v>80.0</v>
      </c>
      <c r="F141" s="15">
        <f t="shared" si="9"/>
        <v>1040</v>
      </c>
      <c r="G141" s="16"/>
      <c r="H141" s="16"/>
      <c r="I141" s="16"/>
      <c r="J141" s="16"/>
      <c r="K141" s="17" t="s">
        <v>310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5.75" customHeight="1">
      <c r="A142" s="1"/>
      <c r="B142" s="61" t="s">
        <v>167</v>
      </c>
      <c r="C142" s="62"/>
      <c r="D142" s="63">
        <f>D135</f>
        <v>256</v>
      </c>
      <c r="E142" s="64">
        <v>27.0</v>
      </c>
      <c r="F142" s="64">
        <f t="shared" si="9"/>
        <v>6912</v>
      </c>
      <c r="G142" s="62"/>
      <c r="H142" s="62"/>
      <c r="I142" s="62"/>
      <c r="J142" s="62"/>
      <c r="K142" s="6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5.75" customHeight="1">
      <c r="A143" s="1"/>
      <c r="B143" s="14" t="s">
        <v>128</v>
      </c>
      <c r="C143" s="16"/>
      <c r="D143" s="49">
        <v>8.0</v>
      </c>
      <c r="E143" s="15">
        <v>400.0</v>
      </c>
      <c r="F143" s="15">
        <f t="shared" si="9"/>
        <v>3200</v>
      </c>
      <c r="G143" s="16"/>
      <c r="H143" s="16"/>
      <c r="I143" s="16"/>
      <c r="J143" s="16"/>
      <c r="K143" s="17" t="s">
        <v>311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5.75" customHeight="1">
      <c r="A144" s="1"/>
      <c r="B144" s="61" t="s">
        <v>127</v>
      </c>
      <c r="C144" s="62"/>
      <c r="D144" s="63">
        <v>10.0</v>
      </c>
      <c r="E144" s="64">
        <v>293.0</v>
      </c>
      <c r="F144" s="64">
        <f t="shared" si="9"/>
        <v>2930</v>
      </c>
      <c r="G144" s="62"/>
      <c r="H144" s="62"/>
      <c r="I144" s="62"/>
      <c r="J144" s="62"/>
      <c r="K144" s="65" t="s">
        <v>311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5.75" customHeight="1">
      <c r="A145" s="1"/>
      <c r="B145" s="14" t="s">
        <v>129</v>
      </c>
      <c r="C145" s="16"/>
      <c r="D145" s="49">
        <f>D114</f>
        <v>20</v>
      </c>
      <c r="E145" s="15">
        <v>20.0</v>
      </c>
      <c r="F145" s="15">
        <f t="shared" si="9"/>
        <v>400</v>
      </c>
      <c r="G145" s="16"/>
      <c r="H145" s="16"/>
      <c r="I145" s="16"/>
      <c r="J145" s="16"/>
      <c r="K145" s="1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5.75" customHeight="1">
      <c r="A146" s="1"/>
      <c r="B146" s="61" t="s">
        <v>131</v>
      </c>
      <c r="C146" s="62"/>
      <c r="D146" s="63">
        <f>D116</f>
        <v>20</v>
      </c>
      <c r="E146" s="64">
        <v>20.0</v>
      </c>
      <c r="F146" s="64">
        <f t="shared" si="9"/>
        <v>400</v>
      </c>
      <c r="G146" s="62"/>
      <c r="H146" s="62"/>
      <c r="I146" s="62"/>
      <c r="J146" s="62"/>
      <c r="K146" s="6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5.75" customHeight="1">
      <c r="A147" s="1"/>
      <c r="B147" s="70" t="s">
        <v>27</v>
      </c>
      <c r="C147" s="71"/>
      <c r="D147" s="71"/>
      <c r="E147" s="72"/>
      <c r="F147" s="73">
        <f>SUM(F135:F146)</f>
        <v>80084</v>
      </c>
      <c r="G147" s="71"/>
      <c r="H147" s="71"/>
      <c r="I147" s="71"/>
      <c r="J147" s="71"/>
      <c r="K147" s="7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1"/>
      <c r="B3" s="27" t="s">
        <v>23</v>
      </c>
      <c r="C3" s="3"/>
      <c r="D3" s="3"/>
      <c r="E3" s="3"/>
      <c r="F3" s="3"/>
      <c r="G3" s="4"/>
      <c r="H3" s="1"/>
      <c r="I3" s="1"/>
      <c r="J3" s="1"/>
    </row>
    <row r="4" ht="15.75" customHeight="1">
      <c r="A4" s="1"/>
      <c r="B4" s="5"/>
      <c r="C4" s="1"/>
      <c r="D4" s="1"/>
      <c r="E4" s="1"/>
      <c r="F4" s="1"/>
      <c r="G4" s="6"/>
      <c r="H4" s="1"/>
      <c r="I4" s="1"/>
      <c r="J4" s="1"/>
    </row>
    <row r="5" ht="15.75" customHeight="1">
      <c r="A5" s="1"/>
      <c r="B5" s="5"/>
      <c r="C5" s="1"/>
      <c r="D5" s="1"/>
      <c r="E5" s="1"/>
      <c r="F5" s="1"/>
      <c r="G5" s="6"/>
      <c r="H5" s="1"/>
      <c r="I5" s="1"/>
      <c r="J5" s="1"/>
    </row>
    <row r="6" ht="15.75" customHeight="1">
      <c r="A6" s="1"/>
      <c r="B6" s="133" t="s">
        <v>0</v>
      </c>
      <c r="C6" s="1"/>
      <c r="D6" s="1"/>
      <c r="E6" s="1"/>
      <c r="F6" s="1"/>
      <c r="G6" s="6"/>
      <c r="H6" s="1"/>
      <c r="I6" s="1"/>
      <c r="J6" s="1"/>
    </row>
    <row r="7" ht="15.75" customHeight="1">
      <c r="A7" s="1"/>
      <c r="B7" s="5"/>
      <c r="C7" s="1"/>
      <c r="D7" s="1"/>
      <c r="E7" s="1"/>
      <c r="F7" s="1"/>
      <c r="G7" s="6"/>
      <c r="H7" s="1"/>
      <c r="I7" s="1"/>
      <c r="J7" s="1"/>
    </row>
    <row r="8" ht="15.75" customHeight="1">
      <c r="A8" s="1"/>
      <c r="B8" s="7" t="s">
        <v>1</v>
      </c>
      <c r="C8" s="1"/>
      <c r="D8" s="8" t="s">
        <v>29</v>
      </c>
      <c r="E8" s="8" t="s">
        <v>3</v>
      </c>
      <c r="F8" s="8" t="s">
        <v>4</v>
      </c>
      <c r="G8" s="76" t="s">
        <v>8</v>
      </c>
      <c r="H8" s="1"/>
      <c r="I8" s="1"/>
      <c r="J8" s="1"/>
    </row>
    <row r="9" ht="15.75" customHeight="1">
      <c r="A9" s="1"/>
      <c r="B9" s="28" t="s">
        <v>6</v>
      </c>
      <c r="C9" s="29"/>
      <c r="D9" s="30" t="s">
        <v>7</v>
      </c>
      <c r="E9" s="30" t="s">
        <v>7</v>
      </c>
      <c r="F9" s="30" t="s">
        <v>7</v>
      </c>
      <c r="G9" s="134"/>
      <c r="H9" s="1"/>
      <c r="I9" s="1"/>
      <c r="J9" s="1"/>
    </row>
    <row r="10" ht="15.75" customHeight="1">
      <c r="A10" s="1"/>
      <c r="B10" s="14" t="s">
        <v>10</v>
      </c>
      <c r="C10" s="16"/>
      <c r="D10" s="15">
        <f>-D26</f>
        <v>-5077</v>
      </c>
      <c r="E10" s="16"/>
      <c r="F10" s="16"/>
      <c r="G10" s="17"/>
      <c r="H10" s="1"/>
      <c r="I10" s="1"/>
      <c r="J10" s="1"/>
    </row>
    <row r="11" ht="15.75" customHeight="1">
      <c r="A11" s="1"/>
      <c r="B11" s="22" t="s">
        <v>27</v>
      </c>
      <c r="C11" s="24"/>
      <c r="D11" s="23">
        <f>D10</f>
        <v>-5077</v>
      </c>
      <c r="E11" s="24"/>
      <c r="F11" s="24"/>
      <c r="G11" s="25"/>
      <c r="H11" s="1"/>
      <c r="I11" s="1"/>
      <c r="J11" s="1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ht="15.75" customHeight="1">
      <c r="A16" s="1"/>
      <c r="B16" s="151" t="s">
        <v>10</v>
      </c>
      <c r="C16" s="3"/>
      <c r="D16" s="3"/>
      <c r="E16" s="3"/>
      <c r="F16" s="3"/>
      <c r="G16" s="4"/>
      <c r="H16" s="1"/>
      <c r="I16" s="1"/>
      <c r="J16" s="1"/>
    </row>
    <row r="17" ht="15.75" customHeight="1">
      <c r="A17" s="1"/>
      <c r="B17" s="5"/>
      <c r="C17" s="1"/>
      <c r="D17" s="1"/>
      <c r="E17" s="1"/>
      <c r="F17" s="1"/>
      <c r="G17" s="6"/>
      <c r="H17" s="1"/>
      <c r="I17" s="1"/>
      <c r="J17" s="1"/>
    </row>
    <row r="18" ht="15.75" customHeight="1">
      <c r="A18" s="1"/>
      <c r="B18" s="7" t="s">
        <v>78</v>
      </c>
      <c r="C18" s="1"/>
      <c r="D18" s="8" t="s">
        <v>29</v>
      </c>
      <c r="E18" s="8" t="s">
        <v>3</v>
      </c>
      <c r="F18" s="8" t="s">
        <v>4</v>
      </c>
      <c r="G18" s="76" t="s">
        <v>8</v>
      </c>
      <c r="H18" s="1"/>
      <c r="I18" s="1"/>
      <c r="J18" s="1"/>
    </row>
    <row r="19" ht="15.75" customHeight="1">
      <c r="A19" s="1"/>
      <c r="B19" s="57" t="s">
        <v>6</v>
      </c>
      <c r="C19" s="58"/>
      <c r="D19" s="59" t="s">
        <v>7</v>
      </c>
      <c r="E19" s="59" t="s">
        <v>7</v>
      </c>
      <c r="F19" s="59" t="s">
        <v>7</v>
      </c>
      <c r="G19" s="77"/>
      <c r="H19" s="1"/>
      <c r="I19" s="1"/>
      <c r="J19" s="1"/>
    </row>
    <row r="20" ht="15.75" customHeight="1">
      <c r="A20" s="1"/>
      <c r="B20" s="14" t="s">
        <v>312</v>
      </c>
      <c r="C20" s="16"/>
      <c r="D20" s="15">
        <v>1907.0</v>
      </c>
      <c r="E20" s="66"/>
      <c r="F20" s="66"/>
      <c r="G20" s="17" t="s">
        <v>313</v>
      </c>
      <c r="H20" s="1"/>
      <c r="I20" s="1"/>
      <c r="J20" s="1"/>
    </row>
    <row r="21" ht="15.75" customHeight="1">
      <c r="A21" s="1"/>
      <c r="B21" s="61" t="s">
        <v>314</v>
      </c>
      <c r="C21" s="62"/>
      <c r="D21" s="64">
        <v>1500.0</v>
      </c>
      <c r="E21" s="64"/>
      <c r="F21" s="67"/>
      <c r="G21" s="171" t="s">
        <v>315</v>
      </c>
      <c r="H21" s="26"/>
      <c r="I21" s="1"/>
      <c r="J21" s="1"/>
    </row>
    <row r="22" ht="15.75" customHeight="1">
      <c r="A22" s="1"/>
      <c r="B22" s="14" t="s">
        <v>316</v>
      </c>
      <c r="C22" s="16"/>
      <c r="D22" s="15">
        <v>870.0</v>
      </c>
      <c r="E22" s="66"/>
      <c r="F22" s="66"/>
      <c r="G22" s="17" t="s">
        <v>317</v>
      </c>
      <c r="H22" s="1"/>
      <c r="I22" s="1"/>
      <c r="J22" s="1"/>
    </row>
    <row r="23" ht="15.75" customHeight="1">
      <c r="A23" s="1"/>
      <c r="B23" s="61" t="s">
        <v>318</v>
      </c>
      <c r="C23" s="62"/>
      <c r="D23" s="64">
        <v>100.0</v>
      </c>
      <c r="E23" s="67"/>
      <c r="F23" s="62"/>
      <c r="G23" s="65" t="s">
        <v>319</v>
      </c>
      <c r="H23" s="1"/>
      <c r="I23" s="1"/>
      <c r="J23" s="1"/>
    </row>
    <row r="24" ht="15.75" customHeight="1">
      <c r="A24" s="1"/>
      <c r="B24" s="14" t="s">
        <v>320</v>
      </c>
      <c r="C24" s="16"/>
      <c r="D24" s="15">
        <v>500.0</v>
      </c>
      <c r="E24" s="66"/>
      <c r="F24" s="16"/>
      <c r="G24" s="17" t="s">
        <v>321</v>
      </c>
      <c r="H24" s="1"/>
      <c r="I24" s="1"/>
      <c r="J24" s="1"/>
    </row>
    <row r="25" ht="15.75" customHeight="1">
      <c r="A25" s="1"/>
      <c r="B25" s="61" t="s">
        <v>322</v>
      </c>
      <c r="C25" s="62"/>
      <c r="D25" s="64">
        <v>200.0</v>
      </c>
      <c r="E25" s="67"/>
      <c r="F25" s="62"/>
      <c r="G25" s="65" t="s">
        <v>323</v>
      </c>
      <c r="H25" s="1"/>
      <c r="I25" s="1"/>
      <c r="J25" s="1"/>
    </row>
    <row r="26" ht="15.75" customHeight="1">
      <c r="A26" s="1"/>
      <c r="B26" s="70" t="s">
        <v>27</v>
      </c>
      <c r="C26" s="71"/>
      <c r="D26" s="73">
        <f>SUM(D20:D25)</f>
        <v>5077</v>
      </c>
      <c r="E26" s="72">
        <f>SUM(E20:E24)</f>
        <v>0</v>
      </c>
      <c r="F26" s="71"/>
      <c r="G26" s="74"/>
      <c r="H26" s="1"/>
      <c r="I26" s="1"/>
      <c r="J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3" max="3" width="37.1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</row>
    <row r="3">
      <c r="A3" s="1"/>
      <c r="B3" s="27" t="s">
        <v>24</v>
      </c>
      <c r="C3" s="3"/>
      <c r="D3" s="3"/>
      <c r="E3" s="3"/>
      <c r="F3" s="3"/>
      <c r="G3" s="4"/>
      <c r="H3" s="1"/>
      <c r="I3" s="1"/>
    </row>
    <row r="4" ht="15.75" customHeight="1">
      <c r="A4" s="1"/>
      <c r="B4" s="5"/>
      <c r="C4" s="1"/>
      <c r="D4" s="1"/>
      <c r="E4" s="1"/>
      <c r="F4" s="1"/>
      <c r="G4" s="6"/>
      <c r="H4" s="1"/>
      <c r="I4" s="1"/>
    </row>
    <row r="5" ht="15.75" customHeight="1">
      <c r="A5" s="1"/>
      <c r="B5" s="5"/>
      <c r="C5" s="1"/>
      <c r="D5" s="1"/>
      <c r="E5" s="1"/>
      <c r="F5" s="1"/>
      <c r="G5" s="6"/>
      <c r="H5" s="1"/>
      <c r="I5" s="1"/>
    </row>
    <row r="6" ht="15.75" customHeight="1">
      <c r="A6" s="1"/>
      <c r="B6" s="133" t="s">
        <v>0</v>
      </c>
      <c r="C6" s="1"/>
      <c r="D6" s="1"/>
      <c r="E6" s="1"/>
      <c r="F6" s="1"/>
      <c r="G6" s="6"/>
      <c r="H6" s="1"/>
      <c r="I6" s="1"/>
    </row>
    <row r="7" ht="15.75" customHeight="1">
      <c r="A7" s="1"/>
      <c r="B7" s="5"/>
      <c r="C7" s="1"/>
      <c r="D7" s="1"/>
      <c r="E7" s="1"/>
      <c r="F7" s="1"/>
      <c r="G7" s="6"/>
      <c r="H7" s="1"/>
      <c r="I7" s="1"/>
    </row>
    <row r="8" ht="15.75" customHeight="1">
      <c r="A8" s="1"/>
      <c r="B8" s="7" t="s">
        <v>1</v>
      </c>
      <c r="C8" s="1"/>
      <c r="D8" s="8" t="s">
        <v>29</v>
      </c>
      <c r="E8" s="8" t="s">
        <v>3</v>
      </c>
      <c r="F8" s="8" t="s">
        <v>4</v>
      </c>
      <c r="G8" s="76" t="s">
        <v>8</v>
      </c>
      <c r="H8" s="1"/>
      <c r="I8" s="1"/>
    </row>
    <row r="9" ht="15.75" customHeight="1">
      <c r="A9" s="1"/>
      <c r="B9" s="28" t="s">
        <v>6</v>
      </c>
      <c r="C9" s="29"/>
      <c r="D9" s="30" t="s">
        <v>7</v>
      </c>
      <c r="E9" s="30" t="s">
        <v>7</v>
      </c>
      <c r="F9" s="30" t="s">
        <v>7</v>
      </c>
      <c r="G9" s="134"/>
      <c r="H9" s="1"/>
      <c r="I9" s="1"/>
    </row>
    <row r="10" ht="15.75" customHeight="1">
      <c r="A10" s="1"/>
      <c r="B10" s="14" t="s">
        <v>10</v>
      </c>
      <c r="C10" s="16"/>
      <c r="D10" s="15">
        <f>-D27</f>
        <v>-11476</v>
      </c>
      <c r="E10" s="16"/>
      <c r="F10" s="16"/>
      <c r="G10" s="17"/>
      <c r="H10" s="1"/>
      <c r="I10" s="1"/>
    </row>
    <row r="11" ht="15.75" customHeight="1">
      <c r="A11" s="1"/>
      <c r="B11" s="18" t="s">
        <v>324</v>
      </c>
      <c r="C11" s="20"/>
      <c r="D11" s="19">
        <f>-D35</f>
        <v>-1000</v>
      </c>
      <c r="E11" s="20"/>
      <c r="F11" s="20"/>
      <c r="G11" s="21"/>
      <c r="H11" s="1"/>
      <c r="I11" s="1"/>
    </row>
    <row r="12" ht="15.75" customHeight="1">
      <c r="A12" s="1"/>
      <c r="B12" s="22" t="s">
        <v>27</v>
      </c>
      <c r="C12" s="24"/>
      <c r="D12" s="23">
        <f>SUM(D10:D11)</f>
        <v>-12476</v>
      </c>
      <c r="E12" s="24"/>
      <c r="F12" s="24"/>
      <c r="G12" s="25"/>
      <c r="H12" s="1"/>
      <c r="I12" s="1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</row>
    <row r="17" ht="15.75" customHeight="1">
      <c r="A17" s="1"/>
      <c r="B17" s="151" t="s">
        <v>10</v>
      </c>
      <c r="C17" s="3"/>
      <c r="D17" s="3"/>
      <c r="E17" s="3"/>
      <c r="F17" s="3"/>
      <c r="G17" s="4"/>
      <c r="H17" s="1"/>
      <c r="I17" s="1"/>
    </row>
    <row r="18" ht="15.75" customHeight="1">
      <c r="A18" s="1"/>
      <c r="B18" s="5"/>
      <c r="C18" s="1"/>
      <c r="D18" s="1"/>
      <c r="E18" s="1"/>
      <c r="F18" s="1"/>
      <c r="G18" s="6"/>
      <c r="H18" s="1"/>
      <c r="I18" s="1"/>
    </row>
    <row r="19" ht="15.75" customHeight="1">
      <c r="A19" s="1"/>
      <c r="B19" s="7" t="s">
        <v>78</v>
      </c>
      <c r="C19" s="1"/>
      <c r="D19" s="8" t="s">
        <v>29</v>
      </c>
      <c r="E19" s="8" t="s">
        <v>3</v>
      </c>
      <c r="F19" s="8" t="s">
        <v>4</v>
      </c>
      <c r="G19" s="76" t="s">
        <v>8</v>
      </c>
      <c r="H19" s="1"/>
      <c r="I19" s="1"/>
    </row>
    <row r="20" ht="15.75" customHeight="1">
      <c r="A20" s="1"/>
      <c r="B20" s="57" t="s">
        <v>6</v>
      </c>
      <c r="C20" s="58"/>
      <c r="D20" s="59" t="s">
        <v>7</v>
      </c>
      <c r="E20" s="59" t="s">
        <v>7</v>
      </c>
      <c r="F20" s="59" t="s">
        <v>7</v>
      </c>
      <c r="G20" s="77"/>
      <c r="H20" s="1"/>
      <c r="I20" s="1"/>
    </row>
    <row r="21" ht="15.75" customHeight="1">
      <c r="A21" s="1"/>
      <c r="B21" s="14" t="s">
        <v>325</v>
      </c>
      <c r="C21" s="16" t="s">
        <v>326</v>
      </c>
      <c r="D21" s="15">
        <v>10000.0</v>
      </c>
      <c r="E21" s="15"/>
      <c r="F21" s="16"/>
      <c r="G21" s="17" t="s">
        <v>327</v>
      </c>
      <c r="H21" s="1"/>
      <c r="I21" s="1"/>
    </row>
    <row r="22" ht="15.75" customHeight="1">
      <c r="A22" s="1"/>
      <c r="B22" s="61" t="s">
        <v>328</v>
      </c>
      <c r="C22" s="62"/>
      <c r="D22" s="64">
        <v>400.0</v>
      </c>
      <c r="E22" s="64"/>
      <c r="F22" s="62"/>
      <c r="G22" s="65" t="s">
        <v>329</v>
      </c>
      <c r="H22" s="1"/>
      <c r="I22" s="1"/>
    </row>
    <row r="23" ht="15.75" customHeight="1">
      <c r="A23" s="1"/>
      <c r="B23" s="14" t="s">
        <v>330</v>
      </c>
      <c r="C23" s="16"/>
      <c r="D23" s="15">
        <v>76.0</v>
      </c>
      <c r="E23" s="15"/>
      <c r="F23" s="16"/>
      <c r="G23" s="17" t="s">
        <v>331</v>
      </c>
      <c r="H23" s="1"/>
      <c r="I23" s="1"/>
    </row>
    <row r="24" ht="15.75" customHeight="1">
      <c r="A24" s="1"/>
      <c r="B24" s="61" t="s">
        <v>37</v>
      </c>
      <c r="C24" s="62"/>
      <c r="D24" s="64">
        <v>400.0</v>
      </c>
      <c r="E24" s="64"/>
      <c r="F24" s="62"/>
      <c r="G24" s="65" t="s">
        <v>332</v>
      </c>
      <c r="H24" s="1"/>
      <c r="I24" s="1"/>
    </row>
    <row r="25" ht="15.75" customHeight="1">
      <c r="A25" s="1"/>
      <c r="B25" s="176" t="s">
        <v>333</v>
      </c>
      <c r="D25" s="15">
        <v>0.0</v>
      </c>
      <c r="E25" s="15"/>
      <c r="G25" s="177"/>
      <c r="H25" s="1"/>
      <c r="I25" s="1"/>
    </row>
    <row r="26" ht="15.75" customHeight="1">
      <c r="A26" s="1"/>
      <c r="B26" s="61" t="s">
        <v>334</v>
      </c>
      <c r="C26" s="62"/>
      <c r="D26" s="64">
        <v>600.0</v>
      </c>
      <c r="E26" s="64"/>
      <c r="F26" s="67"/>
      <c r="G26" s="65" t="s">
        <v>335</v>
      </c>
      <c r="H26" s="1"/>
      <c r="I26" s="1"/>
    </row>
    <row r="27" ht="15.75" customHeight="1">
      <c r="A27" s="1"/>
      <c r="B27" s="70" t="s">
        <v>27</v>
      </c>
      <c r="C27" s="71"/>
      <c r="D27" s="73">
        <f>SUM(D21:D26)</f>
        <v>11476</v>
      </c>
      <c r="E27" s="73"/>
      <c r="F27" s="71"/>
      <c r="G27" s="74"/>
      <c r="H27" s="1"/>
      <c r="I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</row>
    <row r="30" ht="15.75" customHeight="1">
      <c r="A30" s="1"/>
      <c r="B30" s="151" t="s">
        <v>336</v>
      </c>
      <c r="C30" s="3"/>
      <c r="D30" s="3"/>
      <c r="E30" s="3"/>
      <c r="F30" s="3"/>
      <c r="G30" s="4"/>
      <c r="H30" s="1"/>
      <c r="I30" s="1"/>
    </row>
    <row r="31" ht="15.75" customHeight="1">
      <c r="A31" s="1"/>
      <c r="B31" s="5"/>
      <c r="C31" s="1"/>
      <c r="D31" s="1"/>
      <c r="E31" s="1"/>
      <c r="F31" s="1"/>
      <c r="G31" s="6"/>
      <c r="H31" s="1"/>
      <c r="I31" s="1"/>
    </row>
    <row r="32" ht="15.75" customHeight="1">
      <c r="A32" s="1"/>
      <c r="B32" s="7" t="s">
        <v>78</v>
      </c>
      <c r="C32" s="1"/>
      <c r="D32" s="8" t="s">
        <v>29</v>
      </c>
      <c r="E32" s="8" t="s">
        <v>3</v>
      </c>
      <c r="F32" s="8" t="s">
        <v>4</v>
      </c>
      <c r="G32" s="76" t="s">
        <v>8</v>
      </c>
      <c r="H32" s="1"/>
      <c r="I32" s="1"/>
    </row>
    <row r="33" ht="15.75" customHeight="1">
      <c r="A33" s="1"/>
      <c r="B33" s="57" t="s">
        <v>6</v>
      </c>
      <c r="C33" s="58"/>
      <c r="D33" s="59" t="s">
        <v>7</v>
      </c>
      <c r="E33" s="59" t="s">
        <v>7</v>
      </c>
      <c r="F33" s="59" t="s">
        <v>7</v>
      </c>
      <c r="G33" s="77"/>
      <c r="H33" s="1"/>
      <c r="I33" s="1"/>
    </row>
    <row r="34" ht="15.75" customHeight="1">
      <c r="A34" s="1"/>
      <c r="B34" s="14" t="s">
        <v>37</v>
      </c>
      <c r="C34" s="16"/>
      <c r="D34" s="15">
        <v>1000.0</v>
      </c>
      <c r="E34" s="16"/>
      <c r="F34" s="16"/>
      <c r="G34" s="17"/>
      <c r="H34" s="1"/>
      <c r="I34" s="1"/>
    </row>
    <row r="35" ht="15.75" customHeight="1">
      <c r="A35" s="1"/>
      <c r="B35" s="70" t="s">
        <v>27</v>
      </c>
      <c r="C35" s="71"/>
      <c r="D35" s="73">
        <f>SUM(D34)</f>
        <v>1000</v>
      </c>
      <c r="E35" s="71"/>
      <c r="F35" s="71"/>
      <c r="G35" s="74"/>
      <c r="H35" s="1"/>
      <c r="I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>
      <c r="A3" s="1"/>
      <c r="B3" s="27" t="s">
        <v>25</v>
      </c>
      <c r="C3" s="3"/>
      <c r="D3" s="3"/>
      <c r="E3" s="3"/>
      <c r="F3" s="3"/>
      <c r="G3" s="4"/>
      <c r="H3" s="1"/>
      <c r="I3" s="1"/>
      <c r="J3" s="1"/>
      <c r="K3" s="1"/>
      <c r="L3" s="1"/>
      <c r="M3" s="1"/>
    </row>
    <row r="4" ht="15.75" customHeight="1">
      <c r="A4" s="1"/>
      <c r="B4" s="5"/>
      <c r="C4" s="1"/>
      <c r="D4" s="1"/>
      <c r="E4" s="1"/>
      <c r="F4" s="1"/>
      <c r="G4" s="6"/>
      <c r="H4" s="1"/>
      <c r="I4" s="1"/>
      <c r="J4" s="1"/>
      <c r="K4" s="1"/>
      <c r="L4" s="1"/>
      <c r="M4" s="1"/>
    </row>
    <row r="5" ht="15.75" customHeight="1">
      <c r="A5" s="1"/>
      <c r="B5" s="5"/>
      <c r="C5" s="1"/>
      <c r="D5" s="1"/>
      <c r="E5" s="1"/>
      <c r="F5" s="1"/>
      <c r="G5" s="6"/>
      <c r="H5" s="1"/>
      <c r="I5" s="1"/>
      <c r="J5" s="1"/>
      <c r="K5" s="1"/>
      <c r="L5" s="1"/>
      <c r="M5" s="1"/>
    </row>
    <row r="6" ht="15.75" customHeight="1">
      <c r="A6" s="1"/>
      <c r="B6" s="133" t="s">
        <v>0</v>
      </c>
      <c r="C6" s="1"/>
      <c r="D6" s="1"/>
      <c r="E6" s="1"/>
      <c r="F6" s="1"/>
      <c r="G6" s="6"/>
      <c r="H6" s="1"/>
      <c r="I6" s="1"/>
      <c r="J6" s="1"/>
      <c r="K6" s="1"/>
      <c r="L6" s="1"/>
      <c r="M6" s="1"/>
    </row>
    <row r="7" ht="15.75" customHeight="1">
      <c r="A7" s="1"/>
      <c r="B7" s="5"/>
      <c r="C7" s="1"/>
      <c r="D7" s="1"/>
      <c r="E7" s="1"/>
      <c r="F7" s="1"/>
      <c r="G7" s="6"/>
      <c r="H7" s="1"/>
      <c r="I7" s="1"/>
      <c r="J7" s="1"/>
      <c r="K7" s="1"/>
      <c r="L7" s="1"/>
      <c r="M7" s="1"/>
    </row>
    <row r="8" ht="15.75" customHeight="1">
      <c r="A8" s="1"/>
      <c r="B8" s="7" t="s">
        <v>1</v>
      </c>
      <c r="C8" s="1"/>
      <c r="D8" s="8" t="s">
        <v>29</v>
      </c>
      <c r="E8" s="8" t="s">
        <v>3</v>
      </c>
      <c r="F8" s="8" t="s">
        <v>4</v>
      </c>
      <c r="G8" s="76" t="s">
        <v>8</v>
      </c>
      <c r="H8" s="1"/>
      <c r="I8" s="1"/>
      <c r="J8" s="1"/>
      <c r="K8" s="1"/>
      <c r="L8" s="1"/>
      <c r="M8" s="1"/>
    </row>
    <row r="9" ht="15.75" customHeight="1">
      <c r="A9" s="1"/>
      <c r="B9" s="28" t="s">
        <v>6</v>
      </c>
      <c r="C9" s="29"/>
      <c r="D9" s="30" t="s">
        <v>7</v>
      </c>
      <c r="E9" s="30" t="s">
        <v>7</v>
      </c>
      <c r="F9" s="30" t="s">
        <v>7</v>
      </c>
      <c r="G9" s="134"/>
      <c r="H9" s="1"/>
      <c r="I9" s="1"/>
      <c r="J9" s="1"/>
      <c r="K9" s="1"/>
      <c r="L9" s="1"/>
      <c r="M9" s="1"/>
    </row>
    <row r="10" ht="15.75" customHeight="1">
      <c r="A10" s="1"/>
      <c r="B10" s="14" t="s">
        <v>10</v>
      </c>
      <c r="C10" s="16"/>
      <c r="D10" s="15">
        <f>-D26</f>
        <v>-1000</v>
      </c>
      <c r="E10" s="16"/>
      <c r="F10" s="16"/>
      <c r="G10" s="17"/>
      <c r="H10" s="1"/>
      <c r="I10" s="1"/>
      <c r="J10" s="1"/>
      <c r="K10" s="1"/>
      <c r="L10" s="1"/>
      <c r="M10" s="1"/>
    </row>
    <row r="11" ht="15.75" customHeight="1">
      <c r="A11" s="1"/>
      <c r="B11" s="18" t="s">
        <v>337</v>
      </c>
      <c r="C11" s="20"/>
      <c r="D11" s="19">
        <f>D37</f>
        <v>-3800</v>
      </c>
      <c r="E11" s="20"/>
      <c r="F11" s="20"/>
      <c r="G11" s="21"/>
      <c r="H11" s="1"/>
      <c r="I11" s="1"/>
      <c r="J11" s="1"/>
      <c r="K11" s="1"/>
      <c r="L11" s="1"/>
      <c r="M11" s="1"/>
    </row>
    <row r="12" ht="15.75" customHeight="1">
      <c r="A12" s="1"/>
      <c r="B12" s="14" t="s">
        <v>338</v>
      </c>
      <c r="C12" s="16"/>
      <c r="D12" s="15">
        <f>D64</f>
        <v>-35317</v>
      </c>
      <c r="E12" s="16"/>
      <c r="F12" s="16"/>
      <c r="G12" s="17"/>
      <c r="H12" s="1"/>
      <c r="I12" s="1"/>
      <c r="J12" s="1"/>
      <c r="K12" s="1"/>
      <c r="L12" s="1"/>
      <c r="M12" s="1"/>
    </row>
    <row r="13" ht="15.75" customHeight="1">
      <c r="A13" s="1"/>
      <c r="B13" s="18" t="s">
        <v>339</v>
      </c>
      <c r="C13" s="20"/>
      <c r="D13" s="19">
        <f>-D123</f>
        <v>-4750</v>
      </c>
      <c r="E13" s="20"/>
      <c r="F13" s="20"/>
      <c r="G13" s="21"/>
      <c r="H13" s="1"/>
      <c r="I13" s="1"/>
      <c r="J13" s="1"/>
      <c r="K13" s="1"/>
      <c r="L13" s="1"/>
      <c r="M13" s="1"/>
    </row>
    <row r="14" ht="15.75" customHeight="1">
      <c r="A14" s="1"/>
      <c r="B14" s="14" t="s">
        <v>340</v>
      </c>
      <c r="C14" s="16"/>
      <c r="D14" s="15">
        <f>D134</f>
        <v>-1190</v>
      </c>
      <c r="E14" s="16"/>
      <c r="F14" s="16"/>
      <c r="G14" s="17"/>
      <c r="H14" s="1"/>
      <c r="I14" s="1"/>
      <c r="J14" s="1"/>
      <c r="K14" s="1"/>
      <c r="L14" s="1"/>
      <c r="M14" s="1"/>
    </row>
    <row r="15" ht="15.75" customHeight="1">
      <c r="A15" s="1"/>
      <c r="B15" s="18" t="s">
        <v>341</v>
      </c>
      <c r="C15" s="20"/>
      <c r="D15" s="19">
        <f>D160</f>
        <v>-1190</v>
      </c>
      <c r="E15" s="20"/>
      <c r="F15" s="20"/>
      <c r="G15" s="21"/>
      <c r="H15" s="1"/>
      <c r="I15" s="1"/>
      <c r="J15" s="1"/>
      <c r="K15" s="1"/>
      <c r="L15" s="1"/>
      <c r="M15" s="1"/>
    </row>
    <row r="16" ht="15.75" customHeight="1">
      <c r="A16" s="1"/>
      <c r="B16" s="22" t="s">
        <v>27</v>
      </c>
      <c r="C16" s="24"/>
      <c r="D16" s="23">
        <f>SUM(D10:D15)</f>
        <v>-47247</v>
      </c>
      <c r="E16" s="24"/>
      <c r="F16" s="24"/>
      <c r="G16" s="25"/>
      <c r="H16" s="1"/>
      <c r="I16" s="178" t="s">
        <v>342</v>
      </c>
      <c r="J16" s="1"/>
      <c r="K16" s="1"/>
      <c r="L16" s="1"/>
      <c r="M16" s="1"/>
    </row>
    <row r="17" ht="15.75" customHeight="1">
      <c r="A17" s="1"/>
      <c r="B17" s="1" t="s">
        <v>97</v>
      </c>
      <c r="C17" s="34">
        <f>D35+D62+D132+D158</f>
        <v>109425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ht="15.75" customHeight="1">
      <c r="A18" s="1"/>
      <c r="B18" s="1" t="s">
        <v>48</v>
      </c>
      <c r="C18" s="34">
        <f>D26+D36+D63+D123+D133+D159</f>
        <v>-145172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ht="15.75" customHeight="1">
      <c r="A21" s="1"/>
      <c r="B21" s="151" t="s">
        <v>10</v>
      </c>
      <c r="C21" s="3"/>
      <c r="D21" s="3"/>
      <c r="E21" s="3"/>
      <c r="F21" s="3"/>
      <c r="G21" s="4"/>
      <c r="H21" s="1"/>
      <c r="I21" s="1"/>
      <c r="J21" s="1"/>
      <c r="K21" s="1"/>
      <c r="L21" s="1"/>
      <c r="M21" s="1"/>
    </row>
    <row r="22" ht="15.75" customHeight="1">
      <c r="A22" s="1"/>
      <c r="B22" s="5"/>
      <c r="C22" s="1"/>
      <c r="D22" s="1"/>
      <c r="E22" s="1"/>
      <c r="F22" s="1"/>
      <c r="G22" s="6"/>
      <c r="H22" s="1"/>
      <c r="I22" s="1"/>
      <c r="J22" s="1"/>
      <c r="K22" s="1"/>
      <c r="L22" s="1"/>
      <c r="M22" s="1"/>
    </row>
    <row r="23" ht="15.75" customHeight="1">
      <c r="A23" s="1"/>
      <c r="B23" s="7" t="s">
        <v>78</v>
      </c>
      <c r="C23" s="1"/>
      <c r="D23" s="8" t="s">
        <v>29</v>
      </c>
      <c r="E23" s="8" t="s">
        <v>3</v>
      </c>
      <c r="F23" s="8" t="s">
        <v>4</v>
      </c>
      <c r="G23" s="76" t="s">
        <v>8</v>
      </c>
      <c r="H23" s="1"/>
      <c r="I23" s="1"/>
      <c r="J23" s="1"/>
      <c r="K23" s="1"/>
      <c r="L23" s="1"/>
      <c r="M23" s="1"/>
    </row>
    <row r="24" ht="15.75" customHeight="1">
      <c r="A24" s="1"/>
      <c r="B24" s="57" t="s">
        <v>6</v>
      </c>
      <c r="C24" s="58"/>
      <c r="D24" s="59" t="s">
        <v>7</v>
      </c>
      <c r="E24" s="59" t="s">
        <v>7</v>
      </c>
      <c r="F24" s="59" t="s">
        <v>7</v>
      </c>
      <c r="G24" s="77"/>
      <c r="H24" s="1"/>
      <c r="I24" s="1"/>
      <c r="J24" s="1"/>
      <c r="K24" s="1"/>
      <c r="L24" s="1"/>
      <c r="M24" s="1"/>
    </row>
    <row r="25" ht="15.75" customHeight="1">
      <c r="A25" s="1"/>
      <c r="B25" s="14" t="s">
        <v>343</v>
      </c>
      <c r="C25" s="16"/>
      <c r="D25" s="15">
        <v>1000.0</v>
      </c>
      <c r="E25" s="16"/>
      <c r="F25" s="66"/>
      <c r="G25" s="17"/>
      <c r="H25" s="1"/>
      <c r="I25" s="1"/>
      <c r="J25" s="1"/>
      <c r="K25" s="1"/>
      <c r="L25" s="1"/>
      <c r="M25" s="1"/>
    </row>
    <row r="26" ht="15.75" customHeight="1">
      <c r="A26" s="1"/>
      <c r="B26" s="70" t="s">
        <v>27</v>
      </c>
      <c r="C26" s="71"/>
      <c r="D26" s="73">
        <f>D25</f>
        <v>1000</v>
      </c>
      <c r="E26" s="71"/>
      <c r="F26" s="71"/>
      <c r="G26" s="74"/>
      <c r="H26" s="1"/>
      <c r="I26" s="1"/>
      <c r="J26" s="1"/>
      <c r="K26" s="1"/>
      <c r="L26" s="1"/>
      <c r="M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ht="15.75" customHeight="1">
      <c r="A31" s="1"/>
      <c r="B31" s="151" t="s">
        <v>337</v>
      </c>
      <c r="C31" s="179"/>
      <c r="D31" s="3"/>
      <c r="E31" s="3"/>
      <c r="F31" s="3"/>
      <c r="G31" s="3"/>
      <c r="H31" s="3"/>
      <c r="I31" s="3"/>
      <c r="J31" s="3"/>
      <c r="K31" s="4"/>
      <c r="L31" s="1"/>
      <c r="M31" s="1"/>
    </row>
    <row r="32" ht="15.75" customHeight="1">
      <c r="A32" s="1"/>
      <c r="B32" s="5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</row>
    <row r="33" ht="15.75" customHeight="1">
      <c r="A33" s="1"/>
      <c r="B33" s="180" t="s">
        <v>1</v>
      </c>
      <c r="C33" s="1"/>
      <c r="D33" s="8" t="s">
        <v>29</v>
      </c>
      <c r="E33" s="8" t="s">
        <v>3</v>
      </c>
      <c r="F33" s="8" t="s">
        <v>4</v>
      </c>
      <c r="G33" s="8" t="s">
        <v>8</v>
      </c>
      <c r="H33" s="1"/>
      <c r="I33" s="1"/>
      <c r="J33" s="1"/>
      <c r="K33" s="6"/>
      <c r="L33" s="1"/>
      <c r="M33" s="1"/>
    </row>
    <row r="34" ht="15.75" customHeight="1">
      <c r="A34" s="1"/>
      <c r="B34" s="28" t="s">
        <v>6</v>
      </c>
      <c r="C34" s="29"/>
      <c r="D34" s="30" t="s">
        <v>7</v>
      </c>
      <c r="E34" s="30" t="s">
        <v>7</v>
      </c>
      <c r="F34" s="30" t="s">
        <v>7</v>
      </c>
      <c r="G34" s="29"/>
      <c r="H34" s="1"/>
      <c r="I34" s="1"/>
      <c r="J34" s="1"/>
      <c r="K34" s="6"/>
      <c r="L34" s="1"/>
      <c r="M34" s="1"/>
    </row>
    <row r="35" ht="15.75" customHeight="1">
      <c r="A35" s="1"/>
      <c r="B35" s="14" t="s">
        <v>97</v>
      </c>
      <c r="C35" s="16"/>
      <c r="D35" s="15">
        <f>F44</f>
        <v>37920</v>
      </c>
      <c r="E35" s="16"/>
      <c r="F35" s="16"/>
      <c r="G35" s="16"/>
      <c r="H35" s="1"/>
      <c r="I35" s="1"/>
      <c r="J35" s="1"/>
      <c r="K35" s="6"/>
      <c r="L35" s="1"/>
      <c r="M35" s="1"/>
    </row>
    <row r="36" ht="15.75" customHeight="1">
      <c r="A36" s="1"/>
      <c r="B36" s="18" t="s">
        <v>78</v>
      </c>
      <c r="C36" s="20"/>
      <c r="D36" s="19">
        <f>-F53</f>
        <v>-41720</v>
      </c>
      <c r="E36" s="20"/>
      <c r="F36" s="20"/>
      <c r="G36" s="20"/>
      <c r="H36" s="1"/>
      <c r="I36" s="1"/>
      <c r="J36" s="1"/>
      <c r="K36" s="6"/>
      <c r="L36" s="1"/>
      <c r="M36" s="1"/>
    </row>
    <row r="37" ht="15.75" customHeight="1">
      <c r="A37" s="1"/>
      <c r="B37" s="31" t="s">
        <v>27</v>
      </c>
      <c r="C37" s="32"/>
      <c r="D37" s="33">
        <f>SUM(D35:D36)</f>
        <v>-3800</v>
      </c>
      <c r="E37" s="32"/>
      <c r="F37" s="32"/>
      <c r="G37" s="32"/>
      <c r="H37" s="1"/>
      <c r="I37" s="1"/>
      <c r="J37" s="1"/>
      <c r="K37" s="6"/>
      <c r="L37" s="1"/>
      <c r="M37" s="1"/>
    </row>
    <row r="38" ht="15.75" customHeight="1">
      <c r="A38" s="1"/>
      <c r="B38" s="5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</row>
    <row r="39" ht="15.75" customHeight="1">
      <c r="A39" s="1"/>
      <c r="B39" s="5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</row>
    <row r="40" ht="15.75" customHeight="1">
      <c r="A40" s="1"/>
      <c r="B40" s="135" t="s">
        <v>257</v>
      </c>
      <c r="C40" s="1"/>
      <c r="D40" s="8" t="s">
        <v>29</v>
      </c>
      <c r="E40" s="1"/>
      <c r="F40" s="1"/>
      <c r="G40" s="8" t="s">
        <v>3</v>
      </c>
      <c r="H40" s="8"/>
      <c r="I40" s="8"/>
      <c r="J40" s="8" t="s">
        <v>4</v>
      </c>
      <c r="K40" s="76" t="s">
        <v>8</v>
      </c>
      <c r="L40" s="1"/>
      <c r="M40" s="1"/>
    </row>
    <row r="41" ht="15.75" customHeight="1">
      <c r="A41" s="1"/>
      <c r="B41" s="36" t="s">
        <v>6</v>
      </c>
      <c r="C41" s="37"/>
      <c r="D41" s="38" t="s">
        <v>38</v>
      </c>
      <c r="E41" s="38" t="s">
        <v>39</v>
      </c>
      <c r="F41" s="38" t="s">
        <v>7</v>
      </c>
      <c r="G41" s="38" t="s">
        <v>38</v>
      </c>
      <c r="H41" s="38" t="s">
        <v>39</v>
      </c>
      <c r="I41" s="38" t="s">
        <v>7</v>
      </c>
      <c r="J41" s="38" t="s">
        <v>7</v>
      </c>
      <c r="K41" s="136"/>
      <c r="L41" s="1"/>
      <c r="M41" s="1"/>
    </row>
    <row r="42" ht="15.75" customHeight="1">
      <c r="A42" s="1"/>
      <c r="B42" s="14" t="s">
        <v>344</v>
      </c>
      <c r="C42" s="16"/>
      <c r="D42" s="49">
        <v>120.0</v>
      </c>
      <c r="E42" s="50">
        <v>300.0</v>
      </c>
      <c r="F42" s="15">
        <f t="shared" ref="F42:F43" si="1">PRODUCT(D42:E42)</f>
        <v>36000</v>
      </c>
      <c r="G42" s="16"/>
      <c r="H42" s="16"/>
      <c r="I42" s="16"/>
      <c r="J42" s="16"/>
      <c r="K42" s="17"/>
      <c r="L42" s="1"/>
      <c r="M42" s="1"/>
    </row>
    <row r="43" ht="15.75" customHeight="1">
      <c r="A43" s="1"/>
      <c r="B43" s="39" t="s">
        <v>121</v>
      </c>
      <c r="C43" s="40"/>
      <c r="D43" s="51">
        <v>6.0</v>
      </c>
      <c r="E43" s="41">
        <v>320.0</v>
      </c>
      <c r="F43" s="43">
        <f t="shared" si="1"/>
        <v>1920</v>
      </c>
      <c r="G43" s="51">
        <v>3.0</v>
      </c>
      <c r="H43" s="40"/>
      <c r="I43" s="40"/>
      <c r="J43" s="40"/>
      <c r="K43" s="56"/>
      <c r="L43" s="1"/>
      <c r="M43" s="1"/>
    </row>
    <row r="44" ht="15.75" customHeight="1">
      <c r="A44" s="1"/>
      <c r="B44" s="45" t="s">
        <v>27</v>
      </c>
      <c r="C44" s="46"/>
      <c r="D44" s="46"/>
      <c r="E44" s="53"/>
      <c r="F44" s="47">
        <f>SUM(F42:F43)</f>
        <v>37920</v>
      </c>
      <c r="G44" s="46"/>
      <c r="H44" s="46"/>
      <c r="I44" s="46"/>
      <c r="J44" s="46"/>
      <c r="K44" s="54"/>
      <c r="L44" s="1"/>
      <c r="M44" s="1"/>
    </row>
    <row r="45" ht="15.75" customHeight="1">
      <c r="A45" s="1"/>
      <c r="B45" s="5"/>
      <c r="C45" s="1"/>
      <c r="D45" s="1"/>
      <c r="E45" s="1"/>
      <c r="F45" s="1"/>
      <c r="G45" s="1"/>
      <c r="H45" s="1"/>
      <c r="I45" s="1"/>
      <c r="J45" s="1"/>
      <c r="K45" s="6"/>
      <c r="L45" s="1"/>
      <c r="M45" s="1"/>
    </row>
    <row r="46" ht="15.75" customHeight="1">
      <c r="A46" s="1"/>
      <c r="B46" s="7" t="s">
        <v>78</v>
      </c>
      <c r="C46" s="1"/>
      <c r="D46" s="8" t="s">
        <v>29</v>
      </c>
      <c r="E46" s="1"/>
      <c r="F46" s="1"/>
      <c r="G46" s="8" t="s">
        <v>3</v>
      </c>
      <c r="H46" s="8"/>
      <c r="I46" s="8"/>
      <c r="J46" s="8" t="s">
        <v>4</v>
      </c>
      <c r="K46" s="76" t="s">
        <v>8</v>
      </c>
      <c r="L46" s="1"/>
      <c r="M46" s="1"/>
    </row>
    <row r="47" ht="15.75" customHeight="1">
      <c r="A47" s="1"/>
      <c r="B47" s="57" t="s">
        <v>6</v>
      </c>
      <c r="C47" s="58"/>
      <c r="D47" s="59" t="s">
        <v>38</v>
      </c>
      <c r="E47" s="59" t="s">
        <v>39</v>
      </c>
      <c r="F47" s="59" t="s">
        <v>7</v>
      </c>
      <c r="G47" s="59" t="s">
        <v>38</v>
      </c>
      <c r="H47" s="59" t="s">
        <v>39</v>
      </c>
      <c r="I47" s="59" t="s">
        <v>7</v>
      </c>
      <c r="J47" s="59" t="s">
        <v>7</v>
      </c>
      <c r="K47" s="77"/>
      <c r="L47" s="1"/>
      <c r="M47" s="1"/>
    </row>
    <row r="48" ht="15.75" customHeight="1">
      <c r="A48" s="1"/>
      <c r="B48" s="14" t="s">
        <v>345</v>
      </c>
      <c r="C48" s="16"/>
      <c r="D48" s="49">
        <f>SUM(D42:D43)</f>
        <v>126</v>
      </c>
      <c r="E48" s="15">
        <v>105.0</v>
      </c>
      <c r="F48" s="15">
        <v>17000.0</v>
      </c>
      <c r="G48" s="16"/>
      <c r="H48" s="16"/>
      <c r="I48" s="16"/>
      <c r="J48" s="16"/>
      <c r="K48" s="170"/>
      <c r="L48" s="1"/>
      <c r="M48" s="1"/>
    </row>
    <row r="49" ht="15.75" customHeight="1">
      <c r="A49" s="1"/>
      <c r="B49" s="61" t="s">
        <v>139</v>
      </c>
      <c r="C49" s="62"/>
      <c r="D49" s="63">
        <v>1.0</v>
      </c>
      <c r="E49" s="64">
        <v>200.0</v>
      </c>
      <c r="F49" s="64">
        <f t="shared" ref="F49:F51" si="2">PRODUCT(D49:E49)</f>
        <v>200</v>
      </c>
      <c r="G49" s="62"/>
      <c r="H49" s="62"/>
      <c r="I49" s="62"/>
      <c r="J49" s="62"/>
      <c r="K49" s="65"/>
      <c r="L49" s="1"/>
      <c r="M49" s="1"/>
    </row>
    <row r="50" ht="15.75" customHeight="1">
      <c r="A50" s="1"/>
      <c r="B50" s="14" t="s">
        <v>12</v>
      </c>
      <c r="C50" s="16"/>
      <c r="D50" s="49">
        <v>6.0</v>
      </c>
      <c r="E50" s="15">
        <v>100.0</v>
      </c>
      <c r="F50" s="15">
        <f t="shared" si="2"/>
        <v>600</v>
      </c>
      <c r="G50" s="16"/>
      <c r="H50" s="16"/>
      <c r="I50" s="16"/>
      <c r="J50" s="16"/>
      <c r="K50" s="170"/>
      <c r="L50" s="1"/>
      <c r="M50" s="1"/>
    </row>
    <row r="51" ht="15.75" customHeight="1">
      <c r="A51" s="1"/>
      <c r="B51" s="61" t="s">
        <v>346</v>
      </c>
      <c r="C51" s="62"/>
      <c r="D51" s="63">
        <v>1.0</v>
      </c>
      <c r="E51" s="64">
        <v>1000.0</v>
      </c>
      <c r="F51" s="64">
        <f t="shared" si="2"/>
        <v>1000</v>
      </c>
      <c r="G51" s="62"/>
      <c r="H51" s="62"/>
      <c r="I51" s="62"/>
      <c r="J51" s="62"/>
      <c r="K51" s="65"/>
      <c r="L51" s="1"/>
      <c r="M51" s="1"/>
    </row>
    <row r="52" ht="15.75" customHeight="1">
      <c r="A52" s="1"/>
      <c r="B52" s="144" t="s">
        <v>135</v>
      </c>
      <c r="C52" s="128"/>
      <c r="D52" s="128">
        <v>1.0</v>
      </c>
      <c r="E52" s="15">
        <v>22920.0</v>
      </c>
      <c r="F52" s="15">
        <f>PRODUCT(D52,E52)</f>
        <v>22920</v>
      </c>
      <c r="G52" s="128"/>
      <c r="H52" s="128"/>
      <c r="I52" s="181">
        <v>1700.0</v>
      </c>
      <c r="J52" s="128"/>
      <c r="K52" s="182"/>
      <c r="L52" s="1"/>
      <c r="M52" s="1"/>
    </row>
    <row r="53" ht="15.75" customHeight="1">
      <c r="A53" s="1"/>
      <c r="B53" s="70" t="s">
        <v>27</v>
      </c>
      <c r="C53" s="71"/>
      <c r="D53" s="71"/>
      <c r="E53" s="72"/>
      <c r="F53" s="73">
        <f>SUM(F48:F52)</f>
        <v>41720</v>
      </c>
      <c r="G53" s="71"/>
      <c r="H53" s="71"/>
      <c r="I53" s="73">
        <f>SUM(4457+600)</f>
        <v>5057</v>
      </c>
      <c r="J53" s="71"/>
      <c r="K53" s="80"/>
      <c r="L53" s="1"/>
      <c r="M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75" customHeight="1">
      <c r="A58" s="1"/>
      <c r="B58" s="151" t="s">
        <v>338</v>
      </c>
      <c r="C58" s="3"/>
      <c r="D58" s="3"/>
      <c r="E58" s="3"/>
      <c r="F58" s="3"/>
      <c r="G58" s="3"/>
      <c r="H58" s="3"/>
      <c r="I58" s="3"/>
      <c r="J58" s="3"/>
      <c r="K58" s="4"/>
      <c r="L58" s="1"/>
      <c r="M58" s="1"/>
    </row>
    <row r="59" ht="15.75" customHeight="1">
      <c r="A59" s="1"/>
      <c r="B59" s="5"/>
      <c r="C59" s="1"/>
      <c r="D59" s="1"/>
      <c r="E59" s="1"/>
      <c r="F59" s="1"/>
      <c r="G59" s="1"/>
      <c r="H59" s="1"/>
      <c r="I59" s="1"/>
      <c r="J59" s="1"/>
      <c r="K59" s="6"/>
      <c r="L59" s="1"/>
      <c r="M59" s="1"/>
    </row>
    <row r="60" ht="15.75" customHeight="1">
      <c r="A60" s="1"/>
      <c r="B60" s="135" t="s">
        <v>0</v>
      </c>
      <c r="C60" s="1"/>
      <c r="D60" s="8" t="s">
        <v>29</v>
      </c>
      <c r="E60" s="8" t="s">
        <v>3</v>
      </c>
      <c r="F60" s="8" t="s">
        <v>4</v>
      </c>
      <c r="G60" s="8" t="s">
        <v>8</v>
      </c>
      <c r="H60" s="1"/>
      <c r="I60" s="1"/>
      <c r="J60" s="1"/>
      <c r="K60" s="6"/>
      <c r="L60" s="1"/>
      <c r="M60" s="1"/>
    </row>
    <row r="61" ht="15.75" customHeight="1">
      <c r="A61" s="1"/>
      <c r="B61" s="28" t="s">
        <v>6</v>
      </c>
      <c r="C61" s="29"/>
      <c r="D61" s="30" t="s">
        <v>7</v>
      </c>
      <c r="E61" s="30" t="s">
        <v>7</v>
      </c>
      <c r="F61" s="30" t="s">
        <v>7</v>
      </c>
      <c r="G61" s="29"/>
      <c r="H61" s="1"/>
      <c r="I61" s="1"/>
      <c r="J61" s="1"/>
      <c r="K61" s="6"/>
      <c r="L61" s="1"/>
      <c r="M61" s="1"/>
    </row>
    <row r="62" ht="15.75" customHeight="1">
      <c r="A62" s="1"/>
      <c r="B62" s="14" t="s">
        <v>97</v>
      </c>
      <c r="C62" s="16"/>
      <c r="D62" s="15">
        <f>SUM(F74,F82,F88)</f>
        <v>65555</v>
      </c>
      <c r="E62" s="16"/>
      <c r="F62" s="16"/>
      <c r="G62" s="16"/>
      <c r="H62" s="1"/>
      <c r="I62" s="1"/>
      <c r="J62" s="1"/>
      <c r="K62" s="6"/>
      <c r="L62" s="1"/>
      <c r="M62" s="1"/>
    </row>
    <row r="63" ht="15.75" customHeight="1">
      <c r="A63" s="1"/>
      <c r="B63" s="18" t="s">
        <v>48</v>
      </c>
      <c r="C63" s="20"/>
      <c r="D63" s="19">
        <f>SUM(-D96,-F111)</f>
        <v>-100872</v>
      </c>
      <c r="E63" s="20"/>
      <c r="F63" s="20"/>
      <c r="G63" s="20"/>
      <c r="H63" s="1"/>
      <c r="I63" s="1"/>
      <c r="J63" s="1"/>
      <c r="K63" s="6"/>
      <c r="L63" s="1"/>
      <c r="M63" s="1"/>
    </row>
    <row r="64" ht="15.75" customHeight="1">
      <c r="A64" s="1"/>
      <c r="B64" s="31" t="s">
        <v>27</v>
      </c>
      <c r="C64" s="32"/>
      <c r="D64" s="33">
        <f>SUM(D62:D63)</f>
        <v>-35317</v>
      </c>
      <c r="E64" s="32"/>
      <c r="F64" s="32"/>
      <c r="G64" s="32"/>
      <c r="H64" s="1"/>
      <c r="I64" s="1"/>
      <c r="J64" s="1"/>
      <c r="K64" s="6"/>
      <c r="L64" s="1"/>
      <c r="M64" s="1"/>
    </row>
    <row r="65" ht="15.75" customHeight="1">
      <c r="A65" s="1"/>
      <c r="B65" s="5"/>
      <c r="C65" s="1"/>
      <c r="D65" s="1"/>
      <c r="E65" s="1"/>
      <c r="F65" s="1"/>
      <c r="G65" s="1"/>
      <c r="H65" s="1"/>
      <c r="I65" s="1"/>
      <c r="J65" s="1"/>
      <c r="K65" s="6"/>
      <c r="L65" s="1"/>
      <c r="M65" s="1"/>
    </row>
    <row r="66" ht="15.75" customHeight="1">
      <c r="A66" s="1"/>
      <c r="B66" s="5"/>
      <c r="C66" s="1"/>
      <c r="D66" s="1"/>
      <c r="E66" s="1"/>
      <c r="F66" s="1"/>
      <c r="G66" s="1"/>
      <c r="H66" s="1"/>
      <c r="I66" s="1"/>
      <c r="J66" s="1"/>
      <c r="K66" s="6"/>
      <c r="L66" s="1"/>
      <c r="M66" s="1"/>
    </row>
    <row r="67" ht="15.75" customHeight="1">
      <c r="A67" s="1"/>
      <c r="B67" s="135" t="s">
        <v>115</v>
      </c>
      <c r="C67" s="1"/>
      <c r="D67" s="8" t="s">
        <v>29</v>
      </c>
      <c r="E67" s="1"/>
      <c r="F67" s="1"/>
      <c r="G67" s="8" t="s">
        <v>3</v>
      </c>
      <c r="H67" s="8"/>
      <c r="I67" s="8"/>
      <c r="J67" s="8" t="s">
        <v>4</v>
      </c>
      <c r="K67" s="76" t="s">
        <v>8</v>
      </c>
      <c r="L67" s="1"/>
      <c r="M67" s="1"/>
    </row>
    <row r="68" ht="15.75" customHeight="1">
      <c r="A68" s="1"/>
      <c r="B68" s="36" t="s">
        <v>6</v>
      </c>
      <c r="C68" s="37"/>
      <c r="D68" s="38" t="s">
        <v>38</v>
      </c>
      <c r="E68" s="38" t="s">
        <v>39</v>
      </c>
      <c r="F68" s="38" t="s">
        <v>7</v>
      </c>
      <c r="G68" s="38" t="s">
        <v>38</v>
      </c>
      <c r="H68" s="38" t="s">
        <v>39</v>
      </c>
      <c r="I68" s="38" t="s">
        <v>7</v>
      </c>
      <c r="J68" s="38" t="s">
        <v>7</v>
      </c>
      <c r="K68" s="136"/>
      <c r="L68" s="1"/>
      <c r="M68" s="1"/>
    </row>
    <row r="69" ht="15.75" customHeight="1">
      <c r="A69" s="1"/>
      <c r="B69" s="14" t="s">
        <v>116</v>
      </c>
      <c r="C69" s="16"/>
      <c r="D69" s="49">
        <v>105.0</v>
      </c>
      <c r="E69" s="15">
        <v>99.75</v>
      </c>
      <c r="F69" s="15">
        <f t="shared" ref="F69:F73" si="3">PRODUCT(D69:E69)</f>
        <v>10473.75</v>
      </c>
      <c r="G69" s="16"/>
      <c r="H69" s="16"/>
      <c r="I69" s="16"/>
      <c r="J69" s="16"/>
      <c r="K69" s="17"/>
      <c r="L69" s="1"/>
      <c r="M69" s="1"/>
    </row>
    <row r="70" ht="15.75" customHeight="1">
      <c r="A70" s="1"/>
      <c r="B70" s="39" t="s">
        <v>119</v>
      </c>
      <c r="C70" s="40"/>
      <c r="D70" s="51">
        <v>10.0</v>
      </c>
      <c r="E70" s="43">
        <v>99.75</v>
      </c>
      <c r="F70" s="43">
        <f t="shared" si="3"/>
        <v>997.5</v>
      </c>
      <c r="G70" s="40"/>
      <c r="H70" s="40"/>
      <c r="I70" s="40"/>
      <c r="J70" s="40"/>
      <c r="K70" s="56"/>
      <c r="L70" s="1"/>
      <c r="M70" s="1"/>
    </row>
    <row r="71" ht="15.75" customHeight="1">
      <c r="A71" s="1"/>
      <c r="B71" s="14" t="s">
        <v>120</v>
      </c>
      <c r="C71" s="16"/>
      <c r="D71" s="49">
        <v>5.0</v>
      </c>
      <c r="E71" s="15">
        <v>64.75</v>
      </c>
      <c r="F71" s="15">
        <f t="shared" si="3"/>
        <v>323.75</v>
      </c>
      <c r="G71" s="16"/>
      <c r="H71" s="16"/>
      <c r="I71" s="16"/>
      <c r="J71" s="16"/>
      <c r="K71" s="17"/>
      <c r="L71" s="1"/>
      <c r="M71" s="1"/>
    </row>
    <row r="72" ht="15.75" customHeight="1">
      <c r="A72" s="1"/>
      <c r="B72" s="39" t="s">
        <v>347</v>
      </c>
      <c r="C72" s="40"/>
      <c r="D72" s="51">
        <v>2.0</v>
      </c>
      <c r="E72" s="43">
        <v>130.0</v>
      </c>
      <c r="F72" s="43">
        <f t="shared" si="3"/>
        <v>260</v>
      </c>
      <c r="G72" s="40"/>
      <c r="H72" s="40"/>
      <c r="I72" s="40"/>
      <c r="J72" s="40"/>
      <c r="K72" s="56"/>
      <c r="L72" s="1"/>
      <c r="M72" s="1"/>
    </row>
    <row r="73" ht="15.75" customHeight="1">
      <c r="A73" s="1"/>
      <c r="B73" s="14" t="s">
        <v>348</v>
      </c>
      <c r="C73" s="16"/>
      <c r="D73" s="49">
        <v>0.0</v>
      </c>
      <c r="E73" s="15">
        <v>90.0</v>
      </c>
      <c r="F73" s="15">
        <f t="shared" si="3"/>
        <v>0</v>
      </c>
      <c r="G73" s="16"/>
      <c r="H73" s="16"/>
      <c r="I73" s="16"/>
      <c r="J73" s="16"/>
      <c r="K73" s="17"/>
      <c r="L73" s="1"/>
      <c r="M73" s="1"/>
    </row>
    <row r="74" ht="15.75" customHeight="1">
      <c r="A74" s="1"/>
      <c r="B74" s="45" t="s">
        <v>27</v>
      </c>
      <c r="C74" s="46"/>
      <c r="D74" s="46"/>
      <c r="E74" s="53"/>
      <c r="F74" s="47">
        <f>SUM(F69:F73)</f>
        <v>12055</v>
      </c>
      <c r="G74" s="46"/>
      <c r="H74" s="46"/>
      <c r="I74" s="46"/>
      <c r="J74" s="46"/>
      <c r="K74" s="54"/>
      <c r="L74" s="1"/>
      <c r="M74" s="1"/>
    </row>
    <row r="75" ht="15.75" customHeight="1">
      <c r="A75" s="1"/>
      <c r="B75" s="5"/>
      <c r="C75" s="1"/>
      <c r="D75" s="1"/>
      <c r="E75" s="1"/>
      <c r="F75" s="1"/>
      <c r="G75" s="1"/>
      <c r="H75" s="1"/>
      <c r="I75" s="1"/>
      <c r="J75" s="1"/>
      <c r="K75" s="6"/>
      <c r="L75" s="1"/>
      <c r="M75" s="1"/>
    </row>
    <row r="76" ht="15.75" customHeight="1">
      <c r="A76" s="1"/>
      <c r="B76" s="5"/>
      <c r="C76" s="1"/>
      <c r="D76" s="1"/>
      <c r="E76" s="1"/>
      <c r="F76" s="1"/>
      <c r="G76" s="1"/>
      <c r="H76" s="1"/>
      <c r="I76" s="1"/>
      <c r="J76" s="1"/>
      <c r="K76" s="6"/>
      <c r="L76" s="1"/>
      <c r="M76" s="1"/>
    </row>
    <row r="77" ht="15.75" customHeight="1">
      <c r="A77" s="1"/>
      <c r="B77" s="7" t="s">
        <v>125</v>
      </c>
      <c r="C77" s="1"/>
      <c r="D77" s="8" t="s">
        <v>29</v>
      </c>
      <c r="E77" s="1"/>
      <c r="F77" s="1"/>
      <c r="G77" s="8" t="s">
        <v>3</v>
      </c>
      <c r="H77" s="1"/>
      <c r="I77" s="1"/>
      <c r="J77" s="8" t="s">
        <v>4</v>
      </c>
      <c r="K77" s="76" t="s">
        <v>8</v>
      </c>
      <c r="L77" s="1"/>
      <c r="M77" s="1"/>
    </row>
    <row r="78" ht="15.75" customHeight="1">
      <c r="A78" s="1"/>
      <c r="B78" s="36" t="s">
        <v>6</v>
      </c>
      <c r="C78" s="37"/>
      <c r="D78" s="38" t="s">
        <v>38</v>
      </c>
      <c r="E78" s="38" t="s">
        <v>39</v>
      </c>
      <c r="F78" s="38" t="s">
        <v>7</v>
      </c>
      <c r="G78" s="38" t="s">
        <v>38</v>
      </c>
      <c r="H78" s="38" t="s">
        <v>39</v>
      </c>
      <c r="I78" s="38" t="s">
        <v>7</v>
      </c>
      <c r="J78" s="38" t="s">
        <v>7</v>
      </c>
      <c r="K78" s="136"/>
      <c r="L78" s="1"/>
      <c r="M78" s="1"/>
    </row>
    <row r="79" ht="15.75" customHeight="1">
      <c r="A79" s="1"/>
      <c r="B79" s="14" t="s">
        <v>116</v>
      </c>
      <c r="C79" s="16"/>
      <c r="D79" s="49">
        <v>140.0</v>
      </c>
      <c r="E79" s="15">
        <v>250.0</v>
      </c>
      <c r="F79" s="15">
        <f t="shared" ref="F79:F81" si="4">PRODUCT(D79:E79)</f>
        <v>35000</v>
      </c>
      <c r="G79" s="16"/>
      <c r="H79" s="16"/>
      <c r="I79" s="16"/>
      <c r="J79" s="16"/>
      <c r="K79" s="17"/>
      <c r="L79" s="1"/>
      <c r="M79" s="1"/>
    </row>
    <row r="80" ht="15.75" customHeight="1">
      <c r="A80" s="1"/>
      <c r="B80" s="39" t="s">
        <v>119</v>
      </c>
      <c r="C80" s="40"/>
      <c r="D80" s="51">
        <v>30.0</v>
      </c>
      <c r="E80" s="43">
        <v>250.0</v>
      </c>
      <c r="F80" s="43">
        <f t="shared" si="4"/>
        <v>7500</v>
      </c>
      <c r="G80" s="40"/>
      <c r="H80" s="40"/>
      <c r="I80" s="40"/>
      <c r="J80" s="40"/>
      <c r="K80" s="56"/>
      <c r="L80" s="1"/>
      <c r="M80" s="1"/>
    </row>
    <row r="81" ht="15.75" customHeight="1">
      <c r="A81" s="1"/>
      <c r="B81" s="14" t="s">
        <v>120</v>
      </c>
      <c r="C81" s="16"/>
      <c r="D81" s="49">
        <v>10.0</v>
      </c>
      <c r="E81" s="15">
        <v>200.0</v>
      </c>
      <c r="F81" s="15">
        <f t="shared" si="4"/>
        <v>2000</v>
      </c>
      <c r="G81" s="16"/>
      <c r="H81" s="16"/>
      <c r="I81" s="16"/>
      <c r="J81" s="16"/>
      <c r="K81" s="17"/>
      <c r="L81" s="1"/>
      <c r="M81" s="1"/>
    </row>
    <row r="82" ht="15.75" customHeight="1">
      <c r="A82" s="1"/>
      <c r="B82" s="45" t="s">
        <v>27</v>
      </c>
      <c r="C82" s="46"/>
      <c r="D82" s="46"/>
      <c r="E82" s="53"/>
      <c r="F82" s="47">
        <f>SUM(F79:F81)</f>
        <v>44500</v>
      </c>
      <c r="G82" s="46"/>
      <c r="H82" s="46"/>
      <c r="I82" s="46"/>
      <c r="J82" s="46"/>
      <c r="K82" s="54"/>
      <c r="L82" s="1"/>
      <c r="M82" s="1"/>
    </row>
    <row r="83" ht="15.75" customHeight="1">
      <c r="A83" s="1"/>
      <c r="B83" s="5"/>
      <c r="C83" s="1"/>
      <c r="D83" s="1"/>
      <c r="E83" s="1"/>
      <c r="F83" s="1"/>
      <c r="G83" s="1"/>
      <c r="H83" s="1"/>
      <c r="I83" s="1"/>
      <c r="J83" s="1"/>
      <c r="K83" s="6"/>
      <c r="L83" s="1"/>
      <c r="M83" s="1"/>
    </row>
    <row r="84" ht="15.75" customHeight="1">
      <c r="A84" s="1"/>
      <c r="B84" s="5"/>
      <c r="C84" s="1"/>
      <c r="D84" s="1"/>
      <c r="E84" s="1"/>
      <c r="F84" s="1"/>
      <c r="G84" s="1"/>
      <c r="H84" s="1"/>
      <c r="I84" s="1"/>
      <c r="J84" s="1"/>
      <c r="K84" s="6"/>
      <c r="L84" s="1"/>
      <c r="M84" s="1"/>
    </row>
    <row r="85" ht="15.75" customHeight="1">
      <c r="A85" s="1"/>
      <c r="B85" s="135" t="s">
        <v>126</v>
      </c>
      <c r="C85" s="1"/>
      <c r="D85" s="8" t="s">
        <v>29</v>
      </c>
      <c r="E85" s="1"/>
      <c r="F85" s="1"/>
      <c r="G85" s="8" t="s">
        <v>3</v>
      </c>
      <c r="H85" s="1"/>
      <c r="I85" s="1"/>
      <c r="J85" s="8" t="s">
        <v>4</v>
      </c>
      <c r="K85" s="76" t="s">
        <v>8</v>
      </c>
      <c r="L85" s="1"/>
      <c r="M85" s="1"/>
    </row>
    <row r="86" ht="15.75" customHeight="1">
      <c r="A86" s="1"/>
      <c r="B86" s="36" t="s">
        <v>6</v>
      </c>
      <c r="C86" s="37"/>
      <c r="D86" s="38" t="s">
        <v>38</v>
      </c>
      <c r="E86" s="38" t="s">
        <v>39</v>
      </c>
      <c r="F86" s="38" t="s">
        <v>7</v>
      </c>
      <c r="G86" s="38" t="s">
        <v>38</v>
      </c>
      <c r="H86" s="38" t="s">
        <v>39</v>
      </c>
      <c r="I86" s="38" t="s">
        <v>7</v>
      </c>
      <c r="J86" s="38" t="s">
        <v>7</v>
      </c>
      <c r="K86" s="136"/>
      <c r="L86" s="1"/>
      <c r="M86" s="1"/>
    </row>
    <row r="87" ht="15.75" customHeight="1">
      <c r="A87" s="1"/>
      <c r="B87" s="14" t="s">
        <v>295</v>
      </c>
      <c r="C87" s="16"/>
      <c r="D87" s="49">
        <v>300.0</v>
      </c>
      <c r="E87" s="15">
        <v>30.0</v>
      </c>
      <c r="F87" s="15">
        <f>PRODUCT(D87:E87)</f>
        <v>9000</v>
      </c>
      <c r="G87" s="16"/>
      <c r="H87" s="16"/>
      <c r="I87" s="16"/>
      <c r="J87" s="16"/>
      <c r="K87" s="17"/>
      <c r="L87" s="1" t="s">
        <v>349</v>
      </c>
      <c r="M87" s="1"/>
    </row>
    <row r="88" ht="15.75" customHeight="1">
      <c r="A88" s="1"/>
      <c r="B88" s="45" t="s">
        <v>27</v>
      </c>
      <c r="C88" s="46"/>
      <c r="D88" s="46"/>
      <c r="E88" s="53"/>
      <c r="F88" s="47">
        <f>F87</f>
        <v>9000</v>
      </c>
      <c r="G88" s="46"/>
      <c r="H88" s="46"/>
      <c r="I88" s="46"/>
      <c r="J88" s="46"/>
      <c r="K88" s="54"/>
      <c r="L88" s="1"/>
      <c r="M88" s="1"/>
    </row>
    <row r="89" ht="15.75" customHeight="1">
      <c r="A89" s="1"/>
      <c r="B89" s="5"/>
      <c r="C89" s="1"/>
      <c r="D89" s="1"/>
      <c r="E89" s="1"/>
      <c r="F89" s="1"/>
      <c r="G89" s="1"/>
      <c r="H89" s="1"/>
      <c r="I89" s="1"/>
      <c r="J89" s="1"/>
      <c r="K89" s="6"/>
      <c r="L89" s="1"/>
      <c r="M89" s="1"/>
    </row>
    <row r="90" ht="15.75" customHeight="1">
      <c r="A90" s="1"/>
      <c r="B90" s="5"/>
      <c r="C90" s="1"/>
      <c r="D90" s="1"/>
      <c r="E90" s="1"/>
      <c r="F90" s="1"/>
      <c r="G90" s="1"/>
      <c r="H90" s="1"/>
      <c r="I90" s="1"/>
      <c r="J90" s="1"/>
      <c r="K90" s="6"/>
      <c r="L90" s="1"/>
      <c r="M90" s="1"/>
    </row>
    <row r="91" ht="15.75" customHeight="1">
      <c r="A91" s="1"/>
      <c r="B91" s="135" t="s">
        <v>132</v>
      </c>
      <c r="C91" s="1"/>
      <c r="D91" s="8" t="s">
        <v>29</v>
      </c>
      <c r="E91" s="8" t="s">
        <v>3</v>
      </c>
      <c r="F91" s="8" t="s">
        <v>4</v>
      </c>
      <c r="G91" s="8" t="s">
        <v>8</v>
      </c>
      <c r="H91" s="1"/>
      <c r="I91" s="1"/>
      <c r="J91" s="8"/>
      <c r="K91" s="76"/>
      <c r="L91" s="1"/>
      <c r="M91" s="1"/>
    </row>
    <row r="92" ht="15.75" customHeight="1">
      <c r="A92" s="1"/>
      <c r="B92" s="57" t="s">
        <v>6</v>
      </c>
      <c r="C92" s="58"/>
      <c r="D92" s="59" t="s">
        <v>7</v>
      </c>
      <c r="E92" s="59" t="s">
        <v>7</v>
      </c>
      <c r="F92" s="59" t="s">
        <v>7</v>
      </c>
      <c r="G92" s="59"/>
      <c r="H92" s="1"/>
      <c r="I92" s="1"/>
      <c r="J92" s="1"/>
      <c r="K92" s="6"/>
      <c r="L92" s="1"/>
      <c r="M92" s="1"/>
    </row>
    <row r="93" ht="15.75" customHeight="1">
      <c r="A93" s="1"/>
      <c r="B93" s="14" t="s">
        <v>350</v>
      </c>
      <c r="C93" s="16"/>
      <c r="D93" s="15">
        <v>22667.0</v>
      </c>
      <c r="E93" s="16"/>
      <c r="F93" s="66"/>
      <c r="G93" s="66" t="s">
        <v>351</v>
      </c>
      <c r="H93" s="1"/>
      <c r="I93" s="1"/>
      <c r="J93" s="1"/>
      <c r="K93" s="6"/>
      <c r="L93" s="1"/>
      <c r="M93" s="1"/>
    </row>
    <row r="94" ht="15.75" customHeight="1">
      <c r="A94" s="1"/>
      <c r="B94" s="61" t="s">
        <v>135</v>
      </c>
      <c r="C94" s="62"/>
      <c r="D94" s="64">
        <v>1700.0</v>
      </c>
      <c r="E94" s="62"/>
      <c r="F94" s="67"/>
      <c r="G94" s="67"/>
      <c r="H94" s="1"/>
      <c r="I94" s="1"/>
      <c r="J94" s="1"/>
      <c r="K94" s="6"/>
      <c r="L94" s="1"/>
      <c r="M94" s="1"/>
    </row>
    <row r="95" ht="15.75" customHeight="1">
      <c r="A95" s="1"/>
      <c r="B95" s="14" t="s">
        <v>352</v>
      </c>
      <c r="C95" s="16"/>
      <c r="D95" s="15">
        <v>2500.0</v>
      </c>
      <c r="E95" s="16"/>
      <c r="F95" s="16"/>
      <c r="G95" s="16"/>
      <c r="H95" s="1"/>
      <c r="I95" s="1"/>
      <c r="J95" s="1"/>
      <c r="K95" s="6"/>
      <c r="L95" s="1"/>
      <c r="M95" s="1"/>
    </row>
    <row r="96" ht="15.75" customHeight="1">
      <c r="A96" s="1"/>
      <c r="B96" s="145" t="s">
        <v>27</v>
      </c>
      <c r="C96" s="146"/>
      <c r="D96" s="148">
        <f>SUM(D92:D95)</f>
        <v>26867</v>
      </c>
      <c r="E96" s="146"/>
      <c r="F96" s="146"/>
      <c r="G96" s="146"/>
      <c r="H96" s="1"/>
      <c r="I96" s="1"/>
      <c r="J96" s="1"/>
      <c r="K96" s="6"/>
      <c r="L96" s="1"/>
      <c r="M96" s="1"/>
    </row>
    <row r="97" ht="15.75" customHeight="1">
      <c r="A97" s="1"/>
      <c r="B97" s="5"/>
      <c r="C97" s="1"/>
      <c r="D97" s="1"/>
      <c r="E97" s="1"/>
      <c r="F97" s="1"/>
      <c r="G97" s="1"/>
      <c r="H97" s="1"/>
      <c r="I97" s="1"/>
      <c r="J97" s="1"/>
      <c r="K97" s="6"/>
      <c r="L97" s="1"/>
      <c r="M97" s="1"/>
    </row>
    <row r="98" ht="15.75" customHeight="1">
      <c r="A98" s="1"/>
      <c r="B98" s="5"/>
      <c r="C98" s="1"/>
      <c r="D98" s="1"/>
      <c r="E98" s="1"/>
      <c r="F98" s="1"/>
      <c r="G98" s="1"/>
      <c r="H98" s="1"/>
      <c r="I98" s="1"/>
      <c r="J98" s="1"/>
      <c r="K98" s="6"/>
      <c r="L98" s="1"/>
      <c r="M98" s="1"/>
    </row>
    <row r="99" ht="15.75" customHeight="1">
      <c r="A99" s="1"/>
      <c r="B99" s="135" t="s">
        <v>151</v>
      </c>
      <c r="C99" s="1"/>
      <c r="D99" s="8" t="s">
        <v>29</v>
      </c>
      <c r="E99" s="1"/>
      <c r="F99" s="1"/>
      <c r="G99" s="8" t="s">
        <v>3</v>
      </c>
      <c r="H99" s="1"/>
      <c r="I99" s="1"/>
      <c r="J99" s="8" t="s">
        <v>4</v>
      </c>
      <c r="K99" s="76" t="s">
        <v>8</v>
      </c>
      <c r="L99" s="1"/>
      <c r="M99" s="1"/>
    </row>
    <row r="100" ht="15.75" customHeight="1">
      <c r="A100" s="1"/>
      <c r="B100" s="57" t="s">
        <v>6</v>
      </c>
      <c r="C100" s="58"/>
      <c r="D100" s="59" t="s">
        <v>38</v>
      </c>
      <c r="E100" s="59" t="s">
        <v>39</v>
      </c>
      <c r="F100" s="59" t="s">
        <v>7</v>
      </c>
      <c r="G100" s="59" t="s">
        <v>38</v>
      </c>
      <c r="H100" s="59" t="s">
        <v>39</v>
      </c>
      <c r="I100" s="59" t="s">
        <v>7</v>
      </c>
      <c r="J100" s="59" t="s">
        <v>7</v>
      </c>
      <c r="K100" s="77"/>
      <c r="L100" s="1"/>
      <c r="M100" s="1"/>
    </row>
    <row r="101" ht="15.75" customHeight="1">
      <c r="A101" s="1"/>
      <c r="B101" s="14" t="s">
        <v>102</v>
      </c>
      <c r="C101" s="16"/>
      <c r="D101" s="49">
        <v>300.0</v>
      </c>
      <c r="E101" s="15">
        <v>100.0</v>
      </c>
      <c r="F101" s="15">
        <f t="shared" ref="F101:F110" si="5">PRODUCT(D101:E101)</f>
        <v>30000</v>
      </c>
      <c r="G101" s="16"/>
      <c r="H101" s="16"/>
      <c r="I101" s="16">
        <f>sum(6594.65+3000+192.5+7235.76)</f>
        <v>17022.91</v>
      </c>
      <c r="J101" s="16"/>
      <c r="K101" s="17" t="s">
        <v>353</v>
      </c>
      <c r="L101" s="1" t="s">
        <v>354</v>
      </c>
      <c r="M101" s="1"/>
    </row>
    <row r="102" ht="15.75" customHeight="1">
      <c r="A102" s="1"/>
      <c r="B102" s="69" t="s">
        <v>355</v>
      </c>
      <c r="C102" s="62"/>
      <c r="D102" s="63">
        <f t="shared" ref="D102:D103" si="6">SUM(D69,D72,D79)</f>
        <v>247</v>
      </c>
      <c r="E102" s="64">
        <v>90.0</v>
      </c>
      <c r="F102" s="64">
        <f t="shared" si="5"/>
        <v>22230</v>
      </c>
      <c r="G102" s="62"/>
      <c r="H102" s="62"/>
      <c r="I102" s="62"/>
      <c r="J102" s="62"/>
      <c r="K102" s="65" t="s">
        <v>356</v>
      </c>
      <c r="L102" s="1"/>
      <c r="M102" s="1"/>
    </row>
    <row r="103" ht="15.75" customHeight="1">
      <c r="A103" s="1"/>
      <c r="B103" s="44" t="s">
        <v>357</v>
      </c>
      <c r="C103" s="16"/>
      <c r="D103" s="49">
        <f t="shared" si="6"/>
        <v>40</v>
      </c>
      <c r="E103" s="15">
        <v>70.0</v>
      </c>
      <c r="F103" s="15">
        <f t="shared" si="5"/>
        <v>2800</v>
      </c>
      <c r="G103" s="16"/>
      <c r="H103" s="16"/>
      <c r="I103" s="16"/>
      <c r="J103" s="16"/>
      <c r="K103" s="17" t="s">
        <v>356</v>
      </c>
      <c r="L103" s="1"/>
      <c r="M103" s="1"/>
    </row>
    <row r="104" ht="15.75" customHeight="1">
      <c r="A104" s="1"/>
      <c r="B104" s="69" t="s">
        <v>358</v>
      </c>
      <c r="C104" s="62"/>
      <c r="D104" s="63">
        <f>SUM(D71,D81)</f>
        <v>15</v>
      </c>
      <c r="E104" s="64">
        <v>50.0</v>
      </c>
      <c r="F104" s="64">
        <f t="shared" si="5"/>
        <v>750</v>
      </c>
      <c r="G104" s="62"/>
      <c r="H104" s="62"/>
      <c r="I104" s="62"/>
      <c r="J104" s="62"/>
      <c r="K104" s="65" t="s">
        <v>356</v>
      </c>
      <c r="L104" s="1"/>
      <c r="M104" s="1"/>
    </row>
    <row r="105" ht="15.75" customHeight="1">
      <c r="A105" s="1"/>
      <c r="B105" s="44" t="s">
        <v>359</v>
      </c>
      <c r="C105" s="16"/>
      <c r="D105" s="49">
        <f>SUM(D79)</f>
        <v>140</v>
      </c>
      <c r="E105" s="15">
        <v>80.0</v>
      </c>
      <c r="F105" s="15">
        <f t="shared" si="5"/>
        <v>11200</v>
      </c>
      <c r="G105" s="16"/>
      <c r="H105" s="16"/>
      <c r="I105" s="16"/>
      <c r="J105" s="16"/>
      <c r="K105" s="17" t="s">
        <v>360</v>
      </c>
      <c r="L105" s="1"/>
      <c r="M105" s="1"/>
    </row>
    <row r="106" ht="15.75" customHeight="1">
      <c r="A106" s="1"/>
      <c r="B106" s="61" t="s">
        <v>361</v>
      </c>
      <c r="C106" s="62"/>
      <c r="D106" s="63">
        <f t="shared" ref="D106:D107" si="7">D80</f>
        <v>30</v>
      </c>
      <c r="E106" s="64">
        <v>70.0</v>
      </c>
      <c r="F106" s="64">
        <f t="shared" si="5"/>
        <v>2100</v>
      </c>
      <c r="G106" s="62"/>
      <c r="H106" s="62"/>
      <c r="I106" s="62"/>
      <c r="J106" s="62"/>
      <c r="K106" s="65" t="s">
        <v>362</v>
      </c>
      <c r="L106" s="1"/>
      <c r="M106" s="1"/>
    </row>
    <row r="107" ht="15.75" customHeight="1">
      <c r="A107" s="1"/>
      <c r="B107" s="14" t="s">
        <v>363</v>
      </c>
      <c r="C107" s="16"/>
      <c r="D107" s="49">
        <f t="shared" si="7"/>
        <v>10</v>
      </c>
      <c r="E107" s="15">
        <v>50.0</v>
      </c>
      <c r="F107" s="15">
        <f t="shared" si="5"/>
        <v>500</v>
      </c>
      <c r="G107" s="16"/>
      <c r="H107" s="16"/>
      <c r="I107" s="16"/>
      <c r="J107" s="16"/>
      <c r="K107" s="17" t="s">
        <v>364</v>
      </c>
      <c r="L107" s="1"/>
      <c r="M107" s="1"/>
    </row>
    <row r="108" ht="15.75" customHeight="1">
      <c r="A108" s="1"/>
      <c r="B108" s="61" t="s">
        <v>295</v>
      </c>
      <c r="C108" s="62"/>
      <c r="D108" s="63">
        <v>300.0</v>
      </c>
      <c r="E108" s="64">
        <v>12.0</v>
      </c>
      <c r="F108" s="64">
        <f t="shared" si="5"/>
        <v>3600</v>
      </c>
      <c r="G108" s="62"/>
      <c r="H108" s="62"/>
      <c r="I108" s="62"/>
      <c r="J108" s="62"/>
      <c r="K108" s="65" t="s">
        <v>365</v>
      </c>
      <c r="L108" s="1"/>
      <c r="M108" s="1"/>
    </row>
    <row r="109" ht="15.75" customHeight="1">
      <c r="A109" s="1"/>
      <c r="B109" s="14" t="s">
        <v>25</v>
      </c>
      <c r="C109" s="16"/>
      <c r="D109" s="49">
        <v>15.0</v>
      </c>
      <c r="E109" s="15">
        <v>55.0</v>
      </c>
      <c r="F109" s="15">
        <f t="shared" si="5"/>
        <v>825</v>
      </c>
      <c r="G109" s="16"/>
      <c r="H109" s="16"/>
      <c r="I109" s="16">
        <v>495.0</v>
      </c>
      <c r="J109" s="16"/>
      <c r="K109" s="17" t="s">
        <v>366</v>
      </c>
      <c r="L109" s="1"/>
      <c r="M109" s="1"/>
    </row>
    <row r="110" ht="15.75" customHeight="1">
      <c r="A110" s="1"/>
      <c r="B110" s="61" t="s">
        <v>139</v>
      </c>
      <c r="C110" s="62"/>
      <c r="D110" s="63">
        <f>1</f>
        <v>1</v>
      </c>
      <c r="E110" s="64">
        <f>2000</f>
        <v>2000</v>
      </c>
      <c r="F110" s="64">
        <f t="shared" si="5"/>
        <v>2000</v>
      </c>
      <c r="G110" s="62"/>
      <c r="H110" s="62"/>
      <c r="I110" s="62"/>
      <c r="J110" s="62"/>
      <c r="K110" s="65"/>
      <c r="L110" s="1"/>
      <c r="M110" s="1"/>
    </row>
    <row r="111" ht="15.75" customHeight="1">
      <c r="A111" s="1"/>
      <c r="B111" s="70" t="s">
        <v>27</v>
      </c>
      <c r="C111" s="71"/>
      <c r="D111" s="71"/>
      <c r="E111" s="72"/>
      <c r="F111" s="73">
        <f>SUM(F101:F109)</f>
        <v>74005</v>
      </c>
      <c r="G111" s="71"/>
      <c r="H111" s="71"/>
      <c r="I111" s="71"/>
      <c r="J111" s="71"/>
      <c r="K111" s="74"/>
      <c r="L111" s="1"/>
      <c r="M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ht="15.75" customHeight="1">
      <c r="A116" s="1"/>
      <c r="B116" s="2" t="s">
        <v>339</v>
      </c>
      <c r="C116" s="3"/>
      <c r="D116" s="3"/>
      <c r="E116" s="3"/>
      <c r="F116" s="3"/>
      <c r="G116" s="4"/>
      <c r="H116" s="1"/>
      <c r="I116" s="1"/>
      <c r="J116" s="1"/>
      <c r="K116" s="1"/>
      <c r="L116" s="1"/>
      <c r="M116" s="1"/>
    </row>
    <row r="117" ht="15.75" customHeight="1">
      <c r="A117" s="1"/>
      <c r="B117" s="5"/>
      <c r="C117" s="1"/>
      <c r="D117" s="1"/>
      <c r="E117" s="1"/>
      <c r="F117" s="1"/>
      <c r="G117" s="6"/>
      <c r="H117" s="1"/>
      <c r="I117" s="1"/>
      <c r="J117" s="1"/>
      <c r="K117" s="1"/>
      <c r="L117" s="1"/>
      <c r="M117" s="1"/>
    </row>
    <row r="118" ht="15.75" customHeight="1">
      <c r="A118" s="1"/>
      <c r="B118" s="7" t="s">
        <v>78</v>
      </c>
      <c r="C118" s="1"/>
      <c r="D118" s="8" t="s">
        <v>29</v>
      </c>
      <c r="E118" s="8" t="s">
        <v>3</v>
      </c>
      <c r="F118" s="8" t="s">
        <v>4</v>
      </c>
      <c r="G118" s="76" t="s">
        <v>8</v>
      </c>
      <c r="H118" s="1"/>
      <c r="I118" s="1"/>
      <c r="J118" s="1"/>
      <c r="K118" s="1"/>
      <c r="L118" s="1"/>
      <c r="M118" s="1"/>
    </row>
    <row r="119" ht="15.75" customHeight="1">
      <c r="A119" s="1"/>
      <c r="B119" s="57" t="s">
        <v>6</v>
      </c>
      <c r="C119" s="58"/>
      <c r="D119" s="59" t="s">
        <v>7</v>
      </c>
      <c r="E119" s="59" t="s">
        <v>7</v>
      </c>
      <c r="F119" s="59" t="s">
        <v>7</v>
      </c>
      <c r="G119" s="77"/>
      <c r="H119" s="1"/>
      <c r="I119" s="1"/>
      <c r="J119" s="1"/>
      <c r="K119" s="1"/>
      <c r="L119" s="1"/>
      <c r="M119" s="1"/>
    </row>
    <row r="120" ht="15.75" customHeight="1">
      <c r="A120" s="1"/>
      <c r="B120" s="14" t="s">
        <v>367</v>
      </c>
      <c r="C120" s="16"/>
      <c r="D120" s="15">
        <v>250.0</v>
      </c>
      <c r="E120" s="16"/>
      <c r="F120" s="66"/>
      <c r="G120" s="17" t="s">
        <v>368</v>
      </c>
      <c r="H120" s="1" t="s">
        <v>369</v>
      </c>
      <c r="I120" s="1"/>
      <c r="J120" s="1"/>
      <c r="K120" s="1"/>
      <c r="L120" s="1"/>
      <c r="M120" s="1"/>
    </row>
    <row r="121" ht="15.75" customHeight="1">
      <c r="A121" s="1"/>
      <c r="B121" s="61" t="s">
        <v>370</v>
      </c>
      <c r="C121" s="62"/>
      <c r="D121" s="64">
        <v>500.0</v>
      </c>
      <c r="E121" s="62"/>
      <c r="F121" s="67"/>
      <c r="G121" s="65" t="s">
        <v>371</v>
      </c>
      <c r="H121" s="1" t="s">
        <v>372</v>
      </c>
      <c r="I121" s="1"/>
      <c r="J121" s="1"/>
      <c r="K121" s="1"/>
      <c r="L121" s="1"/>
      <c r="M121" s="1"/>
    </row>
    <row r="122" ht="15.75" customHeight="1">
      <c r="A122" s="1"/>
      <c r="B122" s="14" t="s">
        <v>373</v>
      </c>
      <c r="C122" s="16"/>
      <c r="D122" s="15">
        <v>4000.0</v>
      </c>
      <c r="E122" s="16"/>
      <c r="F122" s="66"/>
      <c r="G122" s="17" t="s">
        <v>374</v>
      </c>
      <c r="H122" s="1" t="s">
        <v>375</v>
      </c>
      <c r="I122" s="1"/>
      <c r="J122" s="1"/>
      <c r="K122" s="1"/>
      <c r="L122" s="1"/>
      <c r="M122" s="1"/>
    </row>
    <row r="123" ht="15.75" customHeight="1">
      <c r="A123" s="1"/>
      <c r="B123" s="70" t="s">
        <v>27</v>
      </c>
      <c r="C123" s="71"/>
      <c r="D123" s="73">
        <f>SUM(D119:D122)</f>
        <v>4750</v>
      </c>
      <c r="E123" s="71"/>
      <c r="F123" s="71"/>
      <c r="G123" s="74"/>
      <c r="H123" s="1"/>
      <c r="I123" s="1"/>
      <c r="J123" s="1"/>
      <c r="K123" s="1"/>
      <c r="L123" s="1"/>
      <c r="M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ht="15.75" customHeight="1">
      <c r="A128" s="1"/>
      <c r="B128" s="151" t="s">
        <v>340</v>
      </c>
      <c r="C128" s="179"/>
      <c r="D128" s="3"/>
      <c r="E128" s="3"/>
      <c r="F128" s="3"/>
      <c r="G128" s="3"/>
      <c r="H128" s="3"/>
      <c r="I128" s="3"/>
      <c r="J128" s="3"/>
      <c r="K128" s="4"/>
      <c r="L128" s="1"/>
      <c r="M128" s="1"/>
    </row>
    <row r="129" ht="15.75" customHeight="1">
      <c r="A129" s="1"/>
      <c r="B129" s="5"/>
      <c r="C129" s="1"/>
      <c r="D129" s="1"/>
      <c r="E129" s="1"/>
      <c r="F129" s="1"/>
      <c r="G129" s="1"/>
      <c r="H129" s="1"/>
      <c r="I129" s="1"/>
      <c r="J129" s="1"/>
      <c r="K129" s="6"/>
      <c r="L129" s="1"/>
      <c r="M129" s="1"/>
    </row>
    <row r="130" ht="15.75" customHeight="1">
      <c r="A130" s="1"/>
      <c r="B130" s="180" t="s">
        <v>1</v>
      </c>
      <c r="C130" s="1"/>
      <c r="D130" s="8" t="s">
        <v>29</v>
      </c>
      <c r="E130" s="8" t="s">
        <v>3</v>
      </c>
      <c r="F130" s="8" t="s">
        <v>4</v>
      </c>
      <c r="G130" s="8" t="s">
        <v>8</v>
      </c>
      <c r="H130" s="1"/>
      <c r="I130" s="1"/>
      <c r="J130" s="1"/>
      <c r="K130" s="6"/>
      <c r="L130" s="1"/>
      <c r="M130" s="1"/>
    </row>
    <row r="131" ht="15.75" customHeight="1">
      <c r="A131" s="1"/>
      <c r="B131" s="28" t="s">
        <v>6</v>
      </c>
      <c r="C131" s="29"/>
      <c r="D131" s="30" t="s">
        <v>7</v>
      </c>
      <c r="E131" s="30" t="s">
        <v>7</v>
      </c>
      <c r="F131" s="30" t="s">
        <v>7</v>
      </c>
      <c r="G131" s="29"/>
      <c r="H131" s="1"/>
      <c r="I131" s="1"/>
      <c r="J131" s="1"/>
      <c r="K131" s="6"/>
      <c r="L131" s="1"/>
      <c r="M131" s="1"/>
    </row>
    <row r="132" ht="15.75" customHeight="1">
      <c r="A132" s="1"/>
      <c r="B132" s="14" t="s">
        <v>97</v>
      </c>
      <c r="C132" s="16"/>
      <c r="D132" s="15">
        <f>F142</f>
        <v>2975</v>
      </c>
      <c r="E132" s="16"/>
      <c r="F132" s="16"/>
      <c r="G132" s="16"/>
      <c r="H132" s="1"/>
      <c r="I132" s="1"/>
      <c r="J132" s="1"/>
      <c r="K132" s="6"/>
      <c r="L132" s="1"/>
      <c r="M132" s="1"/>
    </row>
    <row r="133" ht="15.75" customHeight="1">
      <c r="A133" s="1"/>
      <c r="B133" s="18" t="s">
        <v>78</v>
      </c>
      <c r="C133" s="20"/>
      <c r="D133" s="19">
        <f>-F149</f>
        <v>-4165</v>
      </c>
      <c r="E133" s="20"/>
      <c r="F133" s="20"/>
      <c r="G133" s="20"/>
      <c r="H133" s="1"/>
      <c r="I133" s="1"/>
      <c r="J133" s="1"/>
      <c r="K133" s="6"/>
      <c r="L133" s="1"/>
      <c r="M133" s="1"/>
    </row>
    <row r="134" ht="15.75" customHeight="1">
      <c r="A134" s="1"/>
      <c r="B134" s="31" t="s">
        <v>27</v>
      </c>
      <c r="C134" s="32"/>
      <c r="D134" s="33">
        <f>SUM(D132:D133)</f>
        <v>-1190</v>
      </c>
      <c r="E134" s="32"/>
      <c r="F134" s="32"/>
      <c r="G134" s="32"/>
      <c r="H134" s="1"/>
      <c r="I134" s="1"/>
      <c r="J134" s="1"/>
      <c r="K134" s="6"/>
      <c r="L134" s="1"/>
      <c r="M134" s="1"/>
    </row>
    <row r="135" ht="15.75" customHeight="1">
      <c r="A135" s="1"/>
      <c r="B135" s="5"/>
      <c r="C135" s="1"/>
      <c r="D135" s="1"/>
      <c r="E135" s="1"/>
      <c r="F135" s="1"/>
      <c r="G135" s="1"/>
      <c r="H135" s="1"/>
      <c r="I135" s="1"/>
      <c r="J135" s="1"/>
      <c r="K135" s="6"/>
      <c r="L135" s="1"/>
      <c r="M135" s="1"/>
    </row>
    <row r="136" ht="15.75" customHeight="1">
      <c r="A136" s="1"/>
      <c r="B136" s="5"/>
      <c r="C136" s="1"/>
      <c r="D136" s="1"/>
      <c r="E136" s="1"/>
      <c r="F136" s="1"/>
      <c r="G136" s="1"/>
      <c r="H136" s="1"/>
      <c r="I136" s="1"/>
      <c r="J136" s="1"/>
      <c r="K136" s="6"/>
      <c r="L136" s="1"/>
      <c r="M136" s="1"/>
    </row>
    <row r="137" ht="15.75" customHeight="1">
      <c r="A137" s="1"/>
      <c r="B137" s="135" t="s">
        <v>257</v>
      </c>
      <c r="C137" s="1"/>
      <c r="D137" s="8" t="s">
        <v>29</v>
      </c>
      <c r="E137" s="1"/>
      <c r="F137" s="1"/>
      <c r="G137" s="8" t="s">
        <v>3</v>
      </c>
      <c r="H137" s="8"/>
      <c r="I137" s="8"/>
      <c r="J137" s="8" t="s">
        <v>4</v>
      </c>
      <c r="K137" s="76" t="s">
        <v>8</v>
      </c>
      <c r="L137" s="1"/>
      <c r="M137" s="1"/>
    </row>
    <row r="138" ht="15.75" customHeight="1">
      <c r="A138" s="1"/>
      <c r="B138" s="36" t="s">
        <v>6</v>
      </c>
      <c r="C138" s="37"/>
      <c r="D138" s="38" t="s">
        <v>38</v>
      </c>
      <c r="E138" s="38" t="s">
        <v>39</v>
      </c>
      <c r="F138" s="38" t="s">
        <v>7</v>
      </c>
      <c r="G138" s="38" t="s">
        <v>38</v>
      </c>
      <c r="H138" s="38" t="s">
        <v>39</v>
      </c>
      <c r="I138" s="38" t="s">
        <v>7</v>
      </c>
      <c r="J138" s="38" t="s">
        <v>7</v>
      </c>
      <c r="K138" s="136"/>
      <c r="L138" s="1"/>
      <c r="M138" s="1"/>
    </row>
    <row r="139" ht="15.75" customHeight="1">
      <c r="A139" s="1"/>
      <c r="B139" s="14" t="s">
        <v>116</v>
      </c>
      <c r="C139" s="16"/>
      <c r="D139" s="49">
        <v>104.0</v>
      </c>
      <c r="E139" s="15">
        <v>25.0</v>
      </c>
      <c r="F139" s="15">
        <f t="shared" ref="F139:F141" si="8">PRODUCT(D139:E139)</f>
        <v>2600</v>
      </c>
      <c r="G139" s="16"/>
      <c r="H139" s="16"/>
      <c r="I139" s="16"/>
      <c r="J139" s="16"/>
      <c r="K139" s="17" t="s">
        <v>157</v>
      </c>
      <c r="L139" s="1"/>
      <c r="M139" s="1"/>
    </row>
    <row r="140" ht="15.75" customHeight="1">
      <c r="A140" s="1"/>
      <c r="B140" s="39" t="s">
        <v>119</v>
      </c>
      <c r="C140" s="40"/>
      <c r="D140" s="51">
        <v>10.0</v>
      </c>
      <c r="E140" s="43">
        <v>25.0</v>
      </c>
      <c r="F140" s="43">
        <f t="shared" si="8"/>
        <v>250</v>
      </c>
      <c r="G140" s="40"/>
      <c r="H140" s="40"/>
      <c r="I140" s="40"/>
      <c r="J140" s="40"/>
      <c r="K140" s="56" t="s">
        <v>157</v>
      </c>
      <c r="L140" s="1"/>
      <c r="M140" s="1"/>
    </row>
    <row r="141" ht="15.75" customHeight="1">
      <c r="A141" s="1"/>
      <c r="B141" s="14" t="s">
        <v>120</v>
      </c>
      <c r="C141" s="16"/>
      <c r="D141" s="49">
        <v>5.0</v>
      </c>
      <c r="E141" s="15">
        <v>25.0</v>
      </c>
      <c r="F141" s="15">
        <f t="shared" si="8"/>
        <v>125</v>
      </c>
      <c r="G141" s="16"/>
      <c r="H141" s="16"/>
      <c r="I141" s="16"/>
      <c r="J141" s="16"/>
      <c r="K141" s="17" t="s">
        <v>157</v>
      </c>
      <c r="L141" s="1"/>
      <c r="M141" s="1"/>
    </row>
    <row r="142" ht="15.75" customHeight="1">
      <c r="A142" s="1"/>
      <c r="B142" s="45" t="s">
        <v>27</v>
      </c>
      <c r="C142" s="46"/>
      <c r="D142" s="46"/>
      <c r="E142" s="53"/>
      <c r="F142" s="47">
        <f>SUM(F139:F141)</f>
        <v>2975</v>
      </c>
      <c r="G142" s="46"/>
      <c r="H142" s="46"/>
      <c r="I142" s="46"/>
      <c r="J142" s="46"/>
      <c r="K142" s="54"/>
      <c r="L142" s="1"/>
      <c r="M142" s="1"/>
    </row>
    <row r="143" ht="15.75" customHeight="1">
      <c r="A143" s="1"/>
      <c r="B143" s="5"/>
      <c r="C143" s="1"/>
      <c r="D143" s="1"/>
      <c r="E143" s="1"/>
      <c r="F143" s="1"/>
      <c r="G143" s="1"/>
      <c r="H143" s="1"/>
      <c r="I143" s="1"/>
      <c r="J143" s="1"/>
      <c r="K143" s="6"/>
      <c r="L143" s="1"/>
      <c r="M143" s="1"/>
    </row>
    <row r="144" ht="15.75" customHeight="1">
      <c r="A144" s="1"/>
      <c r="B144" s="7" t="s">
        <v>78</v>
      </c>
      <c r="C144" s="1"/>
      <c r="D144" s="8" t="s">
        <v>29</v>
      </c>
      <c r="E144" s="1"/>
      <c r="F144" s="1"/>
      <c r="G144" s="8" t="s">
        <v>3</v>
      </c>
      <c r="H144" s="8"/>
      <c r="I144" s="8"/>
      <c r="J144" s="8" t="s">
        <v>4</v>
      </c>
      <c r="K144" s="76" t="s">
        <v>8</v>
      </c>
      <c r="L144" s="1"/>
      <c r="M144" s="1"/>
    </row>
    <row r="145" ht="15.75" customHeight="1">
      <c r="A145" s="1"/>
      <c r="B145" s="57" t="s">
        <v>6</v>
      </c>
      <c r="C145" s="58"/>
      <c r="D145" s="59" t="s">
        <v>38</v>
      </c>
      <c r="E145" s="59" t="s">
        <v>39</v>
      </c>
      <c r="F145" s="59" t="s">
        <v>7</v>
      </c>
      <c r="G145" s="59" t="s">
        <v>38</v>
      </c>
      <c r="H145" s="59" t="s">
        <v>39</v>
      </c>
      <c r="I145" s="59" t="s">
        <v>7</v>
      </c>
      <c r="J145" s="59" t="s">
        <v>7</v>
      </c>
      <c r="K145" s="77"/>
      <c r="L145" s="1"/>
      <c r="M145" s="1"/>
    </row>
    <row r="146" ht="15.75" customHeight="1">
      <c r="A146" s="1"/>
      <c r="B146" s="14" t="s">
        <v>102</v>
      </c>
      <c r="C146" s="16"/>
      <c r="D146" s="49">
        <f>SUM(D139:D141)</f>
        <v>119</v>
      </c>
      <c r="E146" s="15">
        <v>20.0</v>
      </c>
      <c r="F146" s="15">
        <f t="shared" ref="F146:F148" si="9">PRODUCT(D146:E146)</f>
        <v>2380</v>
      </c>
      <c r="G146" s="16"/>
      <c r="H146" s="16"/>
      <c r="I146" s="16"/>
      <c r="J146" s="16"/>
      <c r="K146" s="17"/>
      <c r="L146" s="1"/>
      <c r="M146" s="1"/>
    </row>
    <row r="147" ht="15.75" customHeight="1">
      <c r="A147" s="1"/>
      <c r="B147" s="61" t="s">
        <v>376</v>
      </c>
      <c r="C147" s="62"/>
      <c r="D147" s="63">
        <f t="shared" ref="D147:D148" si="10">D146</f>
        <v>119</v>
      </c>
      <c r="E147" s="64">
        <v>8.0</v>
      </c>
      <c r="F147" s="64">
        <f t="shared" si="9"/>
        <v>952</v>
      </c>
      <c r="G147" s="62"/>
      <c r="H147" s="62"/>
      <c r="I147" s="62"/>
      <c r="J147" s="62"/>
      <c r="K147" s="183" t="s">
        <v>377</v>
      </c>
      <c r="L147" s="1"/>
      <c r="M147" s="1"/>
    </row>
    <row r="148" ht="15.75" customHeight="1">
      <c r="A148" s="1"/>
      <c r="B148" s="44" t="s">
        <v>219</v>
      </c>
      <c r="C148" s="16"/>
      <c r="D148" s="49">
        <f t="shared" si="10"/>
        <v>119</v>
      </c>
      <c r="E148" s="15">
        <v>7.0</v>
      </c>
      <c r="F148" s="15">
        <f t="shared" si="9"/>
        <v>833</v>
      </c>
      <c r="G148" s="16"/>
      <c r="H148" s="16"/>
      <c r="I148" s="16"/>
      <c r="J148" s="16"/>
      <c r="K148" s="17"/>
      <c r="L148" s="1"/>
      <c r="M148" s="1"/>
    </row>
    <row r="149" ht="15.75" customHeight="1">
      <c r="A149" s="1"/>
      <c r="B149" s="70" t="s">
        <v>27</v>
      </c>
      <c r="C149" s="71"/>
      <c r="D149" s="71"/>
      <c r="E149" s="72"/>
      <c r="F149" s="73">
        <f>SUM(F146:F148)</f>
        <v>4165</v>
      </c>
      <c r="G149" s="71"/>
      <c r="H149" s="71"/>
      <c r="I149" s="73">
        <v>4049.96</v>
      </c>
      <c r="J149" s="71"/>
      <c r="K149" s="74"/>
      <c r="L149" s="1"/>
      <c r="M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ht="15.75" customHeight="1">
      <c r="A154" s="1"/>
      <c r="B154" s="151" t="s">
        <v>341</v>
      </c>
      <c r="C154" s="179"/>
      <c r="D154" s="3"/>
      <c r="E154" s="3"/>
      <c r="F154" s="3"/>
      <c r="G154" s="3"/>
      <c r="H154" s="3"/>
      <c r="I154" s="3"/>
      <c r="J154" s="3"/>
      <c r="K154" s="4"/>
      <c r="L154" s="1"/>
      <c r="M154" s="1"/>
    </row>
    <row r="155" ht="15.75" customHeight="1">
      <c r="A155" s="1"/>
      <c r="B155" s="5"/>
      <c r="C155" s="1"/>
      <c r="D155" s="1"/>
      <c r="E155" s="1"/>
      <c r="F155" s="1"/>
      <c r="G155" s="1"/>
      <c r="H155" s="1"/>
      <c r="I155" s="1"/>
      <c r="J155" s="1"/>
      <c r="K155" s="6"/>
      <c r="L155" s="1"/>
      <c r="M155" s="1"/>
    </row>
    <row r="156" ht="15.75" customHeight="1">
      <c r="A156" s="1"/>
      <c r="B156" s="180" t="s">
        <v>1</v>
      </c>
      <c r="C156" s="1"/>
      <c r="D156" s="8" t="s">
        <v>29</v>
      </c>
      <c r="E156" s="8" t="s">
        <v>3</v>
      </c>
      <c r="F156" s="8" t="s">
        <v>4</v>
      </c>
      <c r="G156" s="8" t="s">
        <v>8</v>
      </c>
      <c r="H156" s="1"/>
      <c r="I156" s="1"/>
      <c r="J156" s="1"/>
      <c r="K156" s="6"/>
      <c r="L156" s="1"/>
      <c r="M156" s="1"/>
    </row>
    <row r="157" ht="15.75" customHeight="1">
      <c r="A157" s="1"/>
      <c r="B157" s="28" t="s">
        <v>6</v>
      </c>
      <c r="C157" s="29"/>
      <c r="D157" s="30" t="s">
        <v>7</v>
      </c>
      <c r="E157" s="30" t="s">
        <v>7</v>
      </c>
      <c r="F157" s="30" t="s">
        <v>7</v>
      </c>
      <c r="G157" s="29"/>
      <c r="H157" s="1"/>
      <c r="I157" s="1"/>
      <c r="J157" s="1"/>
      <c r="K157" s="6"/>
      <c r="L157" s="1"/>
      <c r="M157" s="1"/>
    </row>
    <row r="158" ht="15.75" customHeight="1">
      <c r="A158" s="1"/>
      <c r="B158" s="14" t="s">
        <v>97</v>
      </c>
      <c r="C158" s="16"/>
      <c r="D158" s="15">
        <f>F168</f>
        <v>2975</v>
      </c>
      <c r="E158" s="16"/>
      <c r="F158" s="16"/>
      <c r="G158" s="16"/>
      <c r="H158" s="1"/>
      <c r="I158" s="1"/>
      <c r="J158" s="1"/>
      <c r="K158" s="6"/>
      <c r="L158" s="1"/>
      <c r="M158" s="1"/>
    </row>
    <row r="159" ht="15.75" customHeight="1">
      <c r="A159" s="1"/>
      <c r="B159" s="18" t="s">
        <v>78</v>
      </c>
      <c r="C159" s="20"/>
      <c r="D159" s="19">
        <f>-F175</f>
        <v>-4165</v>
      </c>
      <c r="E159" s="20"/>
      <c r="F159" s="20"/>
      <c r="G159" s="20"/>
      <c r="H159" s="1"/>
      <c r="I159" s="1"/>
      <c r="J159" s="1"/>
      <c r="K159" s="6"/>
      <c r="L159" s="1"/>
      <c r="M159" s="1"/>
    </row>
    <row r="160" ht="15.75" customHeight="1">
      <c r="A160" s="1"/>
      <c r="B160" s="31" t="s">
        <v>27</v>
      </c>
      <c r="C160" s="32"/>
      <c r="D160" s="33">
        <f>SUM(D158:D159)</f>
        <v>-1190</v>
      </c>
      <c r="E160" s="32"/>
      <c r="F160" s="32"/>
      <c r="G160" s="32"/>
      <c r="H160" s="1"/>
      <c r="I160" s="1"/>
      <c r="J160" s="1"/>
      <c r="K160" s="6"/>
      <c r="L160" s="1"/>
      <c r="M160" s="1"/>
    </row>
    <row r="161" ht="15.75" customHeight="1">
      <c r="A161" s="1"/>
      <c r="B161" s="5"/>
      <c r="C161" s="1"/>
      <c r="D161" s="1"/>
      <c r="E161" s="1"/>
      <c r="F161" s="1"/>
      <c r="G161" s="1"/>
      <c r="H161" s="1"/>
      <c r="I161" s="1"/>
      <c r="J161" s="1"/>
      <c r="K161" s="6"/>
      <c r="L161" s="1"/>
      <c r="M161" s="1"/>
    </row>
    <row r="162" ht="15.75" customHeight="1">
      <c r="A162" s="1"/>
      <c r="B162" s="5"/>
      <c r="C162" s="1"/>
      <c r="D162" s="1"/>
      <c r="E162" s="1"/>
      <c r="F162" s="1"/>
      <c r="G162" s="1"/>
      <c r="H162" s="1"/>
      <c r="I162" s="1"/>
      <c r="J162" s="1"/>
      <c r="K162" s="6"/>
      <c r="L162" s="1"/>
      <c r="M162" s="1"/>
    </row>
    <row r="163" ht="15.75" customHeight="1">
      <c r="A163" s="1"/>
      <c r="B163" s="135" t="s">
        <v>257</v>
      </c>
      <c r="C163" s="1"/>
      <c r="D163" s="8" t="s">
        <v>29</v>
      </c>
      <c r="E163" s="1"/>
      <c r="F163" s="1"/>
      <c r="G163" s="8" t="s">
        <v>3</v>
      </c>
      <c r="H163" s="8"/>
      <c r="I163" s="8"/>
      <c r="J163" s="8" t="s">
        <v>4</v>
      </c>
      <c r="K163" s="76" t="s">
        <v>8</v>
      </c>
      <c r="L163" s="1"/>
      <c r="M163" s="1"/>
    </row>
    <row r="164" ht="15.75" customHeight="1">
      <c r="A164" s="1"/>
      <c r="B164" s="36" t="s">
        <v>6</v>
      </c>
      <c r="C164" s="37"/>
      <c r="D164" s="38" t="s">
        <v>38</v>
      </c>
      <c r="E164" s="38" t="s">
        <v>39</v>
      </c>
      <c r="F164" s="38" t="s">
        <v>7</v>
      </c>
      <c r="G164" s="38" t="s">
        <v>38</v>
      </c>
      <c r="H164" s="38" t="s">
        <v>39</v>
      </c>
      <c r="I164" s="38" t="s">
        <v>7</v>
      </c>
      <c r="J164" s="38" t="s">
        <v>7</v>
      </c>
      <c r="K164" s="136"/>
      <c r="L164" s="1"/>
      <c r="M164" s="1"/>
    </row>
    <row r="165" ht="15.75" customHeight="1">
      <c r="A165" s="1"/>
      <c r="B165" s="14" t="s">
        <v>116</v>
      </c>
      <c r="C165" s="16"/>
      <c r="D165" s="49">
        <v>104.0</v>
      </c>
      <c r="E165" s="15">
        <v>25.0</v>
      </c>
      <c r="F165" s="15">
        <f t="shared" ref="F165:F167" si="11">PRODUCT(D165:E165)</f>
        <v>2600</v>
      </c>
      <c r="G165" s="16"/>
      <c r="H165" s="16"/>
      <c r="I165" s="16"/>
      <c r="J165" s="16"/>
      <c r="K165" s="17" t="s">
        <v>377</v>
      </c>
      <c r="L165" s="1"/>
      <c r="M165" s="1"/>
    </row>
    <row r="166" ht="15.75" customHeight="1">
      <c r="A166" s="1"/>
      <c r="B166" s="39" t="s">
        <v>119</v>
      </c>
      <c r="C166" s="40"/>
      <c r="D166" s="51">
        <v>10.0</v>
      </c>
      <c r="E166" s="43">
        <v>25.0</v>
      </c>
      <c r="F166" s="43">
        <f t="shared" si="11"/>
        <v>250</v>
      </c>
      <c r="G166" s="40"/>
      <c r="H166" s="40"/>
      <c r="I166" s="40"/>
      <c r="J166" s="40"/>
      <c r="K166" s="56" t="s">
        <v>377</v>
      </c>
      <c r="L166" s="1"/>
      <c r="M166" s="1"/>
    </row>
    <row r="167" ht="15.75" customHeight="1">
      <c r="A167" s="1"/>
      <c r="B167" s="14" t="s">
        <v>120</v>
      </c>
      <c r="C167" s="16"/>
      <c r="D167" s="49">
        <v>5.0</v>
      </c>
      <c r="E167" s="15">
        <v>25.0</v>
      </c>
      <c r="F167" s="15">
        <f t="shared" si="11"/>
        <v>125</v>
      </c>
      <c r="G167" s="16"/>
      <c r="H167" s="16"/>
      <c r="I167" s="16"/>
      <c r="J167" s="16"/>
      <c r="K167" s="17" t="s">
        <v>377</v>
      </c>
      <c r="L167" s="1"/>
      <c r="M167" s="1"/>
    </row>
    <row r="168" ht="15.75" customHeight="1">
      <c r="A168" s="1"/>
      <c r="B168" s="45" t="s">
        <v>27</v>
      </c>
      <c r="C168" s="46"/>
      <c r="D168" s="46"/>
      <c r="E168" s="53"/>
      <c r="F168" s="47">
        <f>SUM(F165:F167)</f>
        <v>2975</v>
      </c>
      <c r="G168" s="46"/>
      <c r="H168" s="46"/>
      <c r="I168" s="46"/>
      <c r="J168" s="46"/>
      <c r="K168" s="54"/>
      <c r="L168" s="1"/>
      <c r="M168" s="1"/>
    </row>
    <row r="169" ht="15.75" customHeight="1">
      <c r="A169" s="1"/>
      <c r="B169" s="5"/>
      <c r="C169" s="1"/>
      <c r="D169" s="1"/>
      <c r="E169" s="1"/>
      <c r="F169" s="1"/>
      <c r="G169" s="1"/>
      <c r="H169" s="1"/>
      <c r="I169" s="1"/>
      <c r="J169" s="1"/>
      <c r="K169" s="6"/>
      <c r="L169" s="1"/>
      <c r="M169" s="1"/>
    </row>
    <row r="170" ht="15.75" customHeight="1">
      <c r="A170" s="1"/>
      <c r="B170" s="7" t="s">
        <v>78</v>
      </c>
      <c r="C170" s="1"/>
      <c r="D170" s="8" t="s">
        <v>29</v>
      </c>
      <c r="E170" s="1"/>
      <c r="F170" s="1"/>
      <c r="G170" s="8" t="s">
        <v>3</v>
      </c>
      <c r="H170" s="8"/>
      <c r="I170" s="8"/>
      <c r="J170" s="8" t="s">
        <v>4</v>
      </c>
      <c r="K170" s="76" t="s">
        <v>8</v>
      </c>
      <c r="L170" s="1"/>
      <c r="M170" s="1"/>
    </row>
    <row r="171" ht="15.75" customHeight="1">
      <c r="A171" s="1"/>
      <c r="B171" s="57" t="s">
        <v>6</v>
      </c>
      <c r="C171" s="58"/>
      <c r="D171" s="59" t="s">
        <v>38</v>
      </c>
      <c r="E171" s="59" t="s">
        <v>39</v>
      </c>
      <c r="F171" s="59" t="s">
        <v>7</v>
      </c>
      <c r="G171" s="59" t="s">
        <v>38</v>
      </c>
      <c r="H171" s="59" t="s">
        <v>39</v>
      </c>
      <c r="I171" s="59" t="s">
        <v>7</v>
      </c>
      <c r="J171" s="59" t="s">
        <v>7</v>
      </c>
      <c r="K171" s="77"/>
      <c r="L171" s="1"/>
      <c r="M171" s="1"/>
    </row>
    <row r="172" ht="15.75" customHeight="1">
      <c r="A172" s="1"/>
      <c r="B172" s="14" t="s">
        <v>102</v>
      </c>
      <c r="C172" s="16"/>
      <c r="D172" s="49">
        <f>SUM(D165:D167)</f>
        <v>119</v>
      </c>
      <c r="E172" s="15">
        <v>20.0</v>
      </c>
      <c r="F172" s="15">
        <f t="shared" ref="F172:F174" si="12">PRODUCT(D172:E172)</f>
        <v>2380</v>
      </c>
      <c r="G172" s="16"/>
      <c r="H172" s="16"/>
      <c r="I172" s="16"/>
      <c r="J172" s="16"/>
      <c r="K172" s="17"/>
      <c r="L172" s="1"/>
      <c r="M172" s="1"/>
    </row>
    <row r="173" ht="15.75" customHeight="1">
      <c r="A173" s="1"/>
      <c r="B173" s="61" t="s">
        <v>376</v>
      </c>
      <c r="C173" s="62"/>
      <c r="D173" s="63">
        <f t="shared" ref="D173:D174" si="13">D172</f>
        <v>119</v>
      </c>
      <c r="E173" s="64">
        <v>8.0</v>
      </c>
      <c r="F173" s="64">
        <f t="shared" si="12"/>
        <v>952</v>
      </c>
      <c r="G173" s="62"/>
      <c r="H173" s="62"/>
      <c r="I173" s="62"/>
      <c r="J173" s="62"/>
      <c r="K173" s="183" t="s">
        <v>377</v>
      </c>
      <c r="L173" s="1"/>
      <c r="M173" s="1"/>
    </row>
    <row r="174" ht="15.75" customHeight="1">
      <c r="A174" s="1"/>
      <c r="B174" s="44" t="s">
        <v>219</v>
      </c>
      <c r="C174" s="16"/>
      <c r="D174" s="49">
        <f t="shared" si="13"/>
        <v>119</v>
      </c>
      <c r="E174" s="15">
        <v>7.0</v>
      </c>
      <c r="F174" s="15">
        <f t="shared" si="12"/>
        <v>833</v>
      </c>
      <c r="G174" s="16"/>
      <c r="H174" s="16"/>
      <c r="I174" s="16"/>
      <c r="J174" s="16"/>
      <c r="K174" s="17"/>
      <c r="L174" s="1"/>
      <c r="M174" s="1"/>
    </row>
    <row r="175" ht="15.75" customHeight="1">
      <c r="A175" s="1"/>
      <c r="B175" s="70" t="s">
        <v>27</v>
      </c>
      <c r="C175" s="71"/>
      <c r="D175" s="71"/>
      <c r="E175" s="72"/>
      <c r="F175" s="73">
        <f>SUM(F172:F174)</f>
        <v>4165</v>
      </c>
      <c r="G175" s="71"/>
      <c r="H175" s="71"/>
      <c r="I175" s="71"/>
      <c r="J175" s="71"/>
      <c r="K175" s="74"/>
      <c r="L175" s="1"/>
      <c r="M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ht="15.75" customHeight="1">
      <c r="A183" s="1"/>
      <c r="L183" s="1"/>
      <c r="M183" s="1"/>
    </row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3">
    <mergeCell ref="B31:C31"/>
    <mergeCell ref="B128:C128"/>
    <mergeCell ref="B154:C154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2" max="2" width="14.88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>
      <c r="A3" s="1"/>
      <c r="B3" s="27" t="s">
        <v>26</v>
      </c>
      <c r="C3" s="3"/>
      <c r="D3" s="3"/>
      <c r="E3" s="3"/>
      <c r="F3" s="3"/>
      <c r="G3" s="4"/>
      <c r="H3" s="1"/>
      <c r="I3" s="1"/>
      <c r="J3" s="1"/>
      <c r="K3" s="1"/>
      <c r="L3" s="1"/>
      <c r="M3" s="1"/>
    </row>
    <row r="4" ht="15.75" customHeight="1">
      <c r="A4" s="1"/>
      <c r="B4" s="5"/>
      <c r="C4" s="1"/>
      <c r="D4" s="1"/>
      <c r="E4" s="1"/>
      <c r="F4" s="1"/>
      <c r="G4" s="6"/>
      <c r="H4" s="1"/>
      <c r="I4" s="1"/>
      <c r="J4" s="1"/>
      <c r="K4" s="1"/>
      <c r="L4" s="1"/>
      <c r="M4" s="1"/>
    </row>
    <row r="5" ht="15.75" customHeight="1">
      <c r="A5" s="1"/>
      <c r="B5" s="5"/>
      <c r="C5" s="1"/>
      <c r="D5" s="1"/>
      <c r="E5" s="1"/>
      <c r="F5" s="1"/>
      <c r="G5" s="6"/>
      <c r="H5" s="1"/>
      <c r="I5" s="1"/>
      <c r="J5" s="1"/>
      <c r="K5" s="1"/>
      <c r="L5" s="1"/>
      <c r="M5" s="1"/>
    </row>
    <row r="6" ht="15.75" customHeight="1">
      <c r="A6" s="1"/>
      <c r="B6" s="133" t="s">
        <v>0</v>
      </c>
      <c r="C6" s="1"/>
      <c r="D6" s="1"/>
      <c r="E6" s="1"/>
      <c r="F6" s="1"/>
      <c r="G6" s="6"/>
      <c r="H6" s="1"/>
      <c r="I6" s="1"/>
      <c r="J6" s="1"/>
      <c r="K6" s="1"/>
      <c r="L6" s="1"/>
      <c r="M6" s="1"/>
    </row>
    <row r="7" ht="15.75" customHeight="1">
      <c r="A7" s="1"/>
      <c r="B7" s="5"/>
      <c r="C7" s="1"/>
      <c r="D7" s="1"/>
      <c r="E7" s="1"/>
      <c r="F7" s="1"/>
      <c r="G7" s="6"/>
      <c r="H7" s="1"/>
      <c r="I7" s="1"/>
      <c r="J7" s="1"/>
      <c r="K7" s="1"/>
      <c r="L7" s="1"/>
      <c r="M7" s="1"/>
    </row>
    <row r="8" ht="15.75" customHeight="1">
      <c r="A8" s="1"/>
      <c r="B8" s="7" t="s">
        <v>1</v>
      </c>
      <c r="C8" s="1"/>
      <c r="D8" s="8" t="s">
        <v>29</v>
      </c>
      <c r="E8" s="8" t="s">
        <v>3</v>
      </c>
      <c r="F8" s="8" t="s">
        <v>4</v>
      </c>
      <c r="G8" s="76" t="s">
        <v>8</v>
      </c>
      <c r="H8" s="1"/>
      <c r="I8" s="1"/>
      <c r="J8" s="1"/>
      <c r="K8" s="1"/>
      <c r="L8" s="1"/>
      <c r="M8" s="1"/>
    </row>
    <row r="9" ht="15.75" customHeight="1">
      <c r="A9" s="1"/>
      <c r="B9" s="28" t="s">
        <v>6</v>
      </c>
      <c r="C9" s="29"/>
      <c r="D9" s="30" t="s">
        <v>7</v>
      </c>
      <c r="E9" s="30" t="s">
        <v>7</v>
      </c>
      <c r="F9" s="30" t="s">
        <v>7</v>
      </c>
      <c r="G9" s="134"/>
      <c r="H9" s="1"/>
      <c r="I9" s="1"/>
      <c r="J9" s="1"/>
      <c r="K9" s="1"/>
      <c r="L9" s="1"/>
      <c r="M9" s="1"/>
    </row>
    <row r="10" ht="15.75" customHeight="1">
      <c r="A10" s="1"/>
      <c r="B10" s="14" t="s">
        <v>10</v>
      </c>
      <c r="C10" s="16"/>
      <c r="D10" s="15">
        <f>-D28</f>
        <v>-2540</v>
      </c>
      <c r="E10" s="16"/>
      <c r="F10" s="16"/>
      <c r="G10" s="17"/>
      <c r="H10" s="1"/>
      <c r="I10" s="1"/>
      <c r="J10" s="1"/>
      <c r="K10" s="1"/>
      <c r="L10" s="1"/>
      <c r="M10" s="1"/>
    </row>
    <row r="11" ht="15.75" customHeight="1">
      <c r="A11" s="1"/>
      <c r="B11" s="18" t="s">
        <v>378</v>
      </c>
      <c r="C11" s="20"/>
      <c r="D11" s="19">
        <f>D40</f>
        <v>1433</v>
      </c>
      <c r="E11" s="20"/>
      <c r="F11" s="20"/>
      <c r="G11" s="21"/>
      <c r="H11" s="1"/>
      <c r="I11" s="1"/>
      <c r="J11" s="1"/>
      <c r="K11" s="1"/>
      <c r="L11" s="1"/>
      <c r="M11" s="1"/>
    </row>
    <row r="12" ht="15.75" customHeight="1">
      <c r="A12" s="1"/>
      <c r="B12" s="14" t="s">
        <v>379</v>
      </c>
      <c r="C12" s="16"/>
      <c r="D12" s="15">
        <f>D69</f>
        <v>2200</v>
      </c>
      <c r="E12" s="16"/>
      <c r="F12" s="16"/>
      <c r="G12" s="17"/>
      <c r="H12" s="1"/>
      <c r="I12" s="1"/>
      <c r="J12" s="1"/>
      <c r="K12" s="1"/>
      <c r="L12" s="1"/>
      <c r="M12" s="1"/>
    </row>
    <row r="13" ht="15.75" customHeight="1">
      <c r="A13" s="1"/>
      <c r="B13" s="18" t="s">
        <v>380</v>
      </c>
      <c r="C13" s="20"/>
      <c r="D13" s="19">
        <f>D125</f>
        <v>0</v>
      </c>
      <c r="E13" s="20"/>
      <c r="F13" s="20"/>
      <c r="G13" s="21"/>
      <c r="H13" s="1"/>
      <c r="I13" s="1"/>
      <c r="J13" s="1"/>
      <c r="K13" s="1"/>
      <c r="L13" s="1"/>
      <c r="M13" s="1"/>
    </row>
    <row r="14" ht="15.75" customHeight="1">
      <c r="A14" s="1"/>
      <c r="B14" s="14" t="s">
        <v>381</v>
      </c>
      <c r="C14" s="16"/>
      <c r="D14" s="15">
        <f>D100</f>
        <v>0</v>
      </c>
      <c r="E14" s="16"/>
      <c r="F14" s="16"/>
      <c r="G14" s="17"/>
      <c r="H14" s="1"/>
      <c r="I14" s="1"/>
      <c r="J14" s="1"/>
      <c r="K14" s="1"/>
      <c r="L14" s="1"/>
      <c r="M14" s="1"/>
    </row>
    <row r="15" ht="15.75" customHeight="1">
      <c r="A15" s="1"/>
      <c r="B15" s="22" t="s">
        <v>27</v>
      </c>
      <c r="C15" s="24"/>
      <c r="D15" s="23">
        <f>SUM(D10:D14)</f>
        <v>1093</v>
      </c>
      <c r="E15" s="24"/>
      <c r="F15" s="24"/>
      <c r="G15" s="25"/>
      <c r="H15" s="1"/>
      <c r="I15" s="1"/>
      <c r="J15" s="1"/>
      <c r="K15" s="1"/>
      <c r="L15" s="1"/>
      <c r="M15" s="1"/>
    </row>
    <row r="16" ht="15.75" customHeight="1">
      <c r="A16" s="1"/>
      <c r="B16" s="1" t="s">
        <v>97</v>
      </c>
      <c r="C16" s="34">
        <f>D38+D67+D98+D123</f>
        <v>51820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ht="15.75" customHeight="1">
      <c r="A17" s="1"/>
      <c r="B17" s="1" t="s">
        <v>48</v>
      </c>
      <c r="C17" s="34">
        <f>D28+D39+D68+D99+D124</f>
        <v>-45647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ht="15.75" customHeight="1">
      <c r="A20" s="1"/>
      <c r="B20" s="151" t="s">
        <v>10</v>
      </c>
      <c r="C20" s="3"/>
      <c r="D20" s="3"/>
      <c r="E20" s="3"/>
      <c r="F20" s="3"/>
      <c r="G20" s="4"/>
      <c r="H20" s="1"/>
      <c r="I20" s="1"/>
      <c r="J20" s="1"/>
      <c r="K20" s="1"/>
      <c r="L20" s="1"/>
      <c r="M20" s="1"/>
    </row>
    <row r="21" ht="15.75" customHeight="1">
      <c r="A21" s="1"/>
      <c r="B21" s="5"/>
      <c r="C21" s="1"/>
      <c r="D21" s="1"/>
      <c r="E21" s="1"/>
      <c r="F21" s="1"/>
      <c r="G21" s="6"/>
      <c r="H21" s="1"/>
      <c r="I21" s="1"/>
      <c r="J21" s="1"/>
      <c r="K21" s="1"/>
      <c r="L21" s="1"/>
      <c r="M21" s="1"/>
    </row>
    <row r="22" ht="15.75" customHeight="1">
      <c r="A22" s="1"/>
      <c r="B22" s="7" t="s">
        <v>78</v>
      </c>
      <c r="C22" s="1"/>
      <c r="D22" s="8" t="s">
        <v>29</v>
      </c>
      <c r="E22" s="8" t="s">
        <v>3</v>
      </c>
      <c r="F22" s="8" t="s">
        <v>4</v>
      </c>
      <c r="G22" s="76" t="s">
        <v>8</v>
      </c>
      <c r="H22" s="1"/>
      <c r="I22" s="1"/>
      <c r="J22" s="1"/>
      <c r="K22" s="1"/>
      <c r="L22" s="1"/>
      <c r="M22" s="1"/>
    </row>
    <row r="23" ht="15.75" customHeight="1">
      <c r="A23" s="1"/>
      <c r="B23" s="57" t="s">
        <v>6</v>
      </c>
      <c r="C23" s="58"/>
      <c r="D23" s="59" t="s">
        <v>7</v>
      </c>
      <c r="E23" s="59" t="s">
        <v>7</v>
      </c>
      <c r="F23" s="59" t="s">
        <v>7</v>
      </c>
      <c r="G23" s="77"/>
      <c r="H23" s="1"/>
      <c r="I23" s="1"/>
      <c r="J23" s="1"/>
      <c r="K23" s="1"/>
      <c r="L23" s="1"/>
      <c r="M23" s="1"/>
    </row>
    <row r="24" ht="15.75" customHeight="1">
      <c r="A24" s="1"/>
      <c r="B24" s="61" t="s">
        <v>382</v>
      </c>
      <c r="C24" s="62"/>
      <c r="D24" s="64">
        <v>840.0</v>
      </c>
      <c r="E24" s="67">
        <v>840.0</v>
      </c>
      <c r="F24" s="67">
        <f>D24-E24</f>
        <v>0</v>
      </c>
      <c r="G24" s="65"/>
      <c r="H24" s="1"/>
      <c r="I24" s="1"/>
      <c r="J24" s="1"/>
      <c r="K24" s="1"/>
      <c r="L24" s="1"/>
      <c r="M24" s="1"/>
    </row>
    <row r="25" ht="15.75" customHeight="1">
      <c r="A25" s="1"/>
      <c r="B25" s="14" t="s">
        <v>383</v>
      </c>
      <c r="C25" s="16"/>
      <c r="D25" s="15">
        <v>1000.0</v>
      </c>
      <c r="E25" s="66"/>
      <c r="F25" s="16"/>
      <c r="G25" s="17"/>
      <c r="H25" s="1"/>
      <c r="I25" s="1"/>
      <c r="J25" s="1"/>
      <c r="K25" s="1"/>
      <c r="L25" s="1"/>
      <c r="M25" s="1"/>
    </row>
    <row r="26" ht="15.75" customHeight="1">
      <c r="A26" s="1"/>
      <c r="B26" s="61" t="s">
        <v>384</v>
      </c>
      <c r="C26" s="62"/>
      <c r="D26" s="64">
        <v>300.0</v>
      </c>
      <c r="E26" s="67"/>
      <c r="F26" s="62"/>
      <c r="G26" s="65"/>
      <c r="H26" s="1"/>
      <c r="I26" s="1"/>
      <c r="J26" s="1"/>
      <c r="K26" s="1"/>
      <c r="L26" s="1"/>
      <c r="M26" s="1"/>
    </row>
    <row r="27" ht="15.75" customHeight="1">
      <c r="A27" s="1"/>
      <c r="B27" s="144" t="s">
        <v>385</v>
      </c>
      <c r="C27" s="128"/>
      <c r="D27" s="130">
        <v>400.0</v>
      </c>
      <c r="E27" s="184"/>
      <c r="F27" s="128"/>
      <c r="G27" s="143" t="s">
        <v>386</v>
      </c>
      <c r="H27" s="1"/>
      <c r="I27" s="1"/>
      <c r="J27" s="1"/>
      <c r="K27" s="1"/>
      <c r="L27" s="1"/>
      <c r="M27" s="1"/>
    </row>
    <row r="28" ht="15.75" customHeight="1">
      <c r="A28" s="1"/>
      <c r="B28" s="70" t="s">
        <v>27</v>
      </c>
      <c r="C28" s="71"/>
      <c r="D28" s="73">
        <f>SUM(D24:D27)</f>
        <v>2540</v>
      </c>
      <c r="E28" s="72"/>
      <c r="F28" s="71"/>
      <c r="G28" s="74"/>
      <c r="H28" s="1"/>
      <c r="I28" s="1"/>
      <c r="J28" s="1"/>
      <c r="K28" s="1"/>
      <c r="L28" s="1"/>
      <c r="M28" s="1"/>
    </row>
    <row r="29" ht="15.75" customHeight="1">
      <c r="A29" s="1"/>
      <c r="H29" s="1"/>
      <c r="I29" s="1"/>
      <c r="J29" s="1"/>
      <c r="K29" s="1"/>
      <c r="L29" s="1"/>
      <c r="M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ht="15.75" customHeight="1">
      <c r="A34" s="1"/>
      <c r="B34" s="151" t="s">
        <v>387</v>
      </c>
      <c r="C34" s="179"/>
      <c r="D34" s="3"/>
      <c r="E34" s="3"/>
      <c r="F34" s="3"/>
      <c r="G34" s="3"/>
      <c r="H34" s="3"/>
      <c r="I34" s="3"/>
      <c r="J34" s="3"/>
      <c r="K34" s="4"/>
      <c r="L34" s="1"/>
      <c r="M34" s="1"/>
    </row>
    <row r="35" ht="15.75" customHeight="1">
      <c r="A35" s="1"/>
      <c r="B35" s="5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</row>
    <row r="36" ht="15.75" customHeight="1">
      <c r="A36" s="1"/>
      <c r="B36" s="180" t="s">
        <v>1</v>
      </c>
      <c r="C36" s="1"/>
      <c r="D36" s="8" t="s">
        <v>29</v>
      </c>
      <c r="E36" s="8" t="s">
        <v>3</v>
      </c>
      <c r="F36" s="8" t="s">
        <v>4</v>
      </c>
      <c r="G36" s="8" t="s">
        <v>8</v>
      </c>
      <c r="H36" s="1"/>
      <c r="I36" s="1"/>
      <c r="J36" s="1"/>
      <c r="K36" s="6"/>
      <c r="L36" s="1"/>
      <c r="M36" s="1"/>
    </row>
    <row r="37" ht="15.75" customHeight="1">
      <c r="A37" s="1"/>
      <c r="B37" s="28" t="s">
        <v>6</v>
      </c>
      <c r="C37" s="29"/>
      <c r="D37" s="30" t="s">
        <v>7</v>
      </c>
      <c r="E37" s="30" t="s">
        <v>7</v>
      </c>
      <c r="F37" s="30" t="s">
        <v>7</v>
      </c>
      <c r="G37" s="29"/>
      <c r="H37" s="1"/>
      <c r="I37" s="1"/>
      <c r="J37" s="1"/>
      <c r="K37" s="6"/>
      <c r="L37" s="1"/>
      <c r="M37" s="1"/>
    </row>
    <row r="38" ht="15.75" customHeight="1">
      <c r="A38" s="1"/>
      <c r="B38" s="14" t="s">
        <v>97</v>
      </c>
      <c r="C38" s="16"/>
      <c r="D38" s="15">
        <f>F50</f>
        <v>16940</v>
      </c>
      <c r="E38" s="16"/>
      <c r="F38" s="16"/>
      <c r="G38" s="16"/>
      <c r="H38" s="1"/>
      <c r="I38" s="1"/>
      <c r="J38" s="1"/>
      <c r="K38" s="6"/>
      <c r="L38" s="1"/>
      <c r="M38" s="1"/>
    </row>
    <row r="39" ht="15.75" customHeight="1">
      <c r="A39" s="1"/>
      <c r="B39" s="18" t="s">
        <v>78</v>
      </c>
      <c r="C39" s="20"/>
      <c r="D39" s="19">
        <f>-F58</f>
        <v>-15507</v>
      </c>
      <c r="E39" s="20"/>
      <c r="F39" s="20"/>
      <c r="G39" s="20"/>
      <c r="H39" s="1"/>
      <c r="I39" s="1"/>
      <c r="J39" s="1"/>
      <c r="K39" s="6"/>
      <c r="L39" s="1"/>
      <c r="M39" s="1"/>
    </row>
    <row r="40" ht="15.75" customHeight="1">
      <c r="A40" s="1"/>
      <c r="B40" s="31" t="s">
        <v>27</v>
      </c>
      <c r="C40" s="32"/>
      <c r="D40" s="33">
        <f>SUM(D38:D39)</f>
        <v>1433</v>
      </c>
      <c r="E40" s="32"/>
      <c r="F40" s="32"/>
      <c r="G40" s="32"/>
      <c r="H40" s="1"/>
      <c r="I40" s="1"/>
      <c r="J40" s="1"/>
      <c r="K40" s="6"/>
      <c r="L40" s="1"/>
      <c r="M40" s="1"/>
    </row>
    <row r="41" ht="15.75" customHeight="1">
      <c r="A41" s="1"/>
      <c r="B41" s="5"/>
      <c r="C41" s="1"/>
      <c r="D41" s="1"/>
      <c r="E41" s="1"/>
      <c r="F41" s="1"/>
      <c r="G41" s="1"/>
      <c r="H41" s="1"/>
      <c r="I41" s="1"/>
      <c r="J41" s="1"/>
      <c r="K41" s="6"/>
      <c r="L41" s="1"/>
      <c r="M41" s="1"/>
    </row>
    <row r="42" ht="15.75" customHeight="1">
      <c r="A42" s="1"/>
      <c r="B42" s="5"/>
      <c r="C42" s="1"/>
      <c r="D42" s="1"/>
      <c r="E42" s="1"/>
      <c r="F42" s="1"/>
      <c r="G42" s="1"/>
      <c r="H42" s="1"/>
      <c r="I42" s="1"/>
      <c r="J42" s="1"/>
      <c r="K42" s="6"/>
      <c r="L42" s="1"/>
      <c r="M42" s="1"/>
    </row>
    <row r="43" ht="15.75" customHeight="1">
      <c r="A43" s="1"/>
      <c r="B43" s="135" t="s">
        <v>257</v>
      </c>
      <c r="C43" s="1"/>
      <c r="D43" s="8" t="s">
        <v>29</v>
      </c>
      <c r="E43" s="1"/>
      <c r="F43" s="1"/>
      <c r="G43" s="8" t="s">
        <v>3</v>
      </c>
      <c r="H43" s="8"/>
      <c r="I43" s="8"/>
      <c r="J43" s="8" t="s">
        <v>4</v>
      </c>
      <c r="K43" s="76" t="s">
        <v>8</v>
      </c>
      <c r="L43" s="1"/>
      <c r="M43" s="1"/>
    </row>
    <row r="44" ht="15.75" customHeight="1">
      <c r="A44" s="1"/>
      <c r="B44" s="36" t="s">
        <v>6</v>
      </c>
      <c r="C44" s="37"/>
      <c r="D44" s="38" t="s">
        <v>38</v>
      </c>
      <c r="E44" s="38" t="s">
        <v>39</v>
      </c>
      <c r="F44" s="38" t="s">
        <v>7</v>
      </c>
      <c r="G44" s="38" t="s">
        <v>38</v>
      </c>
      <c r="H44" s="38" t="s">
        <v>39</v>
      </c>
      <c r="I44" s="38" t="s">
        <v>7</v>
      </c>
      <c r="J44" s="38" t="s">
        <v>7</v>
      </c>
      <c r="K44" s="136"/>
      <c r="L44" s="1"/>
      <c r="M44" s="1"/>
    </row>
    <row r="45" ht="15.75" customHeight="1">
      <c r="A45" s="1"/>
      <c r="B45" s="14" t="s">
        <v>116</v>
      </c>
      <c r="C45" s="16"/>
      <c r="D45" s="49">
        <v>104.0</v>
      </c>
      <c r="E45" s="15">
        <f>140</f>
        <v>140</v>
      </c>
      <c r="F45" s="15">
        <f>PRODUCT(D45,E45)</f>
        <v>14560</v>
      </c>
      <c r="G45" s="16"/>
      <c r="H45" s="16"/>
      <c r="I45" s="16"/>
      <c r="J45" s="16"/>
      <c r="K45" s="17"/>
      <c r="L45" s="1"/>
      <c r="M45" s="1"/>
    </row>
    <row r="46" ht="15.75" customHeight="1">
      <c r="A46" s="1"/>
      <c r="B46" s="39" t="s">
        <v>119</v>
      </c>
      <c r="C46" s="40"/>
      <c r="D46" s="51">
        <v>10.0</v>
      </c>
      <c r="E46" s="43">
        <v>130.0</v>
      </c>
      <c r="F46" s="43">
        <f t="shared" ref="F46:F49" si="1">PRODUCT(D46:E46)</f>
        <v>1300</v>
      </c>
      <c r="G46" s="40"/>
      <c r="H46" s="40"/>
      <c r="I46" s="40"/>
      <c r="J46" s="40"/>
      <c r="K46" s="56"/>
      <c r="L46" s="1"/>
      <c r="M46" s="1"/>
    </row>
    <row r="47" ht="15.75" customHeight="1">
      <c r="A47" s="1"/>
      <c r="B47" s="14" t="s">
        <v>120</v>
      </c>
      <c r="C47" s="16"/>
      <c r="D47" s="49">
        <v>6.0</v>
      </c>
      <c r="E47" s="15">
        <f>110</f>
        <v>110</v>
      </c>
      <c r="F47" s="15">
        <f t="shared" si="1"/>
        <v>660</v>
      </c>
      <c r="G47" s="16"/>
      <c r="H47" s="16"/>
      <c r="I47" s="16"/>
      <c r="J47" s="16"/>
      <c r="K47" s="17"/>
      <c r="L47" s="1"/>
      <c r="M47" s="1"/>
    </row>
    <row r="48" ht="15.75" customHeight="1">
      <c r="A48" s="1"/>
      <c r="B48" s="39" t="s">
        <v>347</v>
      </c>
      <c r="C48" s="40"/>
      <c r="D48" s="51">
        <f>3</f>
        <v>3</v>
      </c>
      <c r="E48" s="43">
        <v>140.0</v>
      </c>
      <c r="F48" s="43">
        <f t="shared" si="1"/>
        <v>420</v>
      </c>
      <c r="G48" s="40"/>
      <c r="H48" s="40"/>
      <c r="I48" s="40"/>
      <c r="J48" s="40"/>
      <c r="K48" s="56"/>
      <c r="L48" s="1"/>
      <c r="M48" s="1"/>
    </row>
    <row r="49" ht="15.75" customHeight="1">
      <c r="A49" s="1"/>
      <c r="B49" s="14" t="s">
        <v>348</v>
      </c>
      <c r="C49" s="16"/>
      <c r="D49" s="49">
        <v>0.0</v>
      </c>
      <c r="E49" s="15">
        <v>130.0</v>
      </c>
      <c r="F49" s="15">
        <f t="shared" si="1"/>
        <v>0</v>
      </c>
      <c r="G49" s="16"/>
      <c r="H49" s="16"/>
      <c r="I49" s="16"/>
      <c r="J49" s="16"/>
      <c r="K49" s="17"/>
      <c r="L49" s="1"/>
      <c r="M49" s="1"/>
    </row>
    <row r="50" ht="15.75" customHeight="1">
      <c r="A50" s="1"/>
      <c r="B50" s="45" t="s">
        <v>27</v>
      </c>
      <c r="C50" s="46"/>
      <c r="D50" s="46"/>
      <c r="E50" s="53"/>
      <c r="F50" s="47">
        <f>SUM(F45:F49)</f>
        <v>16940</v>
      </c>
      <c r="G50" s="46"/>
      <c r="H50" s="46"/>
      <c r="I50" s="46"/>
      <c r="J50" s="46"/>
      <c r="K50" s="54"/>
      <c r="L50" s="1"/>
      <c r="M50" s="1"/>
    </row>
    <row r="51" ht="15.75" customHeight="1">
      <c r="A51" s="1"/>
      <c r="B51" s="5"/>
      <c r="C51" s="1"/>
      <c r="D51" s="1"/>
      <c r="E51" s="1"/>
      <c r="F51" s="1"/>
      <c r="G51" s="1"/>
      <c r="H51" s="1"/>
      <c r="I51" s="1"/>
      <c r="J51" s="1"/>
      <c r="K51" s="6"/>
      <c r="L51" s="1"/>
      <c r="M51" s="1"/>
    </row>
    <row r="52" ht="15.75" customHeight="1">
      <c r="A52" s="1"/>
      <c r="B52" s="7" t="s">
        <v>78</v>
      </c>
      <c r="C52" s="1"/>
      <c r="D52" s="8" t="s">
        <v>29</v>
      </c>
      <c r="E52" s="1"/>
      <c r="F52" s="1"/>
      <c r="G52" s="8" t="s">
        <v>3</v>
      </c>
      <c r="H52" s="8"/>
      <c r="I52" s="8"/>
      <c r="J52" s="8" t="s">
        <v>4</v>
      </c>
      <c r="K52" s="76" t="s">
        <v>8</v>
      </c>
      <c r="L52" s="1"/>
      <c r="M52" s="1"/>
    </row>
    <row r="53" ht="15.75" customHeight="1">
      <c r="A53" s="1"/>
      <c r="B53" s="57" t="s">
        <v>6</v>
      </c>
      <c r="C53" s="58"/>
      <c r="D53" s="59" t="s">
        <v>38</v>
      </c>
      <c r="E53" s="59" t="s">
        <v>39</v>
      </c>
      <c r="F53" s="59" t="s">
        <v>7</v>
      </c>
      <c r="G53" s="59" t="s">
        <v>38</v>
      </c>
      <c r="H53" s="59" t="s">
        <v>39</v>
      </c>
      <c r="I53" s="59" t="s">
        <v>7</v>
      </c>
      <c r="J53" s="59" t="s">
        <v>7</v>
      </c>
      <c r="K53" s="77"/>
      <c r="L53" s="1"/>
      <c r="M53" s="1"/>
    </row>
    <row r="54" ht="15.75" customHeight="1">
      <c r="A54" s="1"/>
      <c r="B54" s="14" t="s">
        <v>102</v>
      </c>
      <c r="C54" s="16"/>
      <c r="D54" s="49">
        <f>SUM(D45:D49)</f>
        <v>123</v>
      </c>
      <c r="E54" s="15">
        <f>72</f>
        <v>72</v>
      </c>
      <c r="F54" s="15">
        <f t="shared" ref="F54:F57" si="2">PRODUCT(D54:E54)</f>
        <v>8856</v>
      </c>
      <c r="G54" s="16"/>
      <c r="H54" s="16"/>
      <c r="I54" s="16"/>
      <c r="J54" s="16"/>
      <c r="K54" s="55" t="s">
        <v>388</v>
      </c>
      <c r="L54" s="1"/>
      <c r="M54" s="1"/>
    </row>
    <row r="55" ht="15.75" customHeight="1">
      <c r="A55" s="1"/>
      <c r="B55" s="61" t="s">
        <v>105</v>
      </c>
      <c r="C55" s="62"/>
      <c r="D55" s="63">
        <f t="shared" ref="D55:D56" si="3">SUM(D45,D48)</f>
        <v>107</v>
      </c>
      <c r="E55" s="64">
        <v>55.0</v>
      </c>
      <c r="F55" s="64">
        <f t="shared" si="2"/>
        <v>5885</v>
      </c>
      <c r="G55" s="62"/>
      <c r="H55" s="62"/>
      <c r="I55" s="62"/>
      <c r="J55" s="62"/>
      <c r="K55" s="65"/>
      <c r="L55" s="1"/>
      <c r="M55" s="1"/>
    </row>
    <row r="56" ht="15.75" customHeight="1">
      <c r="A56" s="1"/>
      <c r="B56" s="14" t="s">
        <v>107</v>
      </c>
      <c r="C56" s="16"/>
      <c r="D56" s="49">
        <f t="shared" si="3"/>
        <v>10</v>
      </c>
      <c r="E56" s="15">
        <v>55.0</v>
      </c>
      <c r="F56" s="15">
        <f t="shared" si="2"/>
        <v>550</v>
      </c>
      <c r="G56" s="16"/>
      <c r="H56" s="16"/>
      <c r="I56" s="16"/>
      <c r="J56" s="16"/>
      <c r="K56" s="17"/>
      <c r="L56" s="1"/>
      <c r="M56" s="1"/>
    </row>
    <row r="57" ht="15.75" customHeight="1">
      <c r="A57" s="1"/>
      <c r="B57" s="61" t="s">
        <v>106</v>
      </c>
      <c r="C57" s="62"/>
      <c r="D57" s="63">
        <f>SUM(D47)</f>
        <v>6</v>
      </c>
      <c r="E57" s="64">
        <v>36.0</v>
      </c>
      <c r="F57" s="64">
        <f t="shared" si="2"/>
        <v>216</v>
      </c>
      <c r="G57" s="62"/>
      <c r="H57" s="62"/>
      <c r="I57" s="62"/>
      <c r="J57" s="62"/>
      <c r="K57" s="65"/>
      <c r="L57" s="1"/>
      <c r="M57" s="1"/>
    </row>
    <row r="58" ht="15.75" customHeight="1">
      <c r="A58" s="1"/>
      <c r="B58" s="70" t="s">
        <v>27</v>
      </c>
      <c r="C58" s="71"/>
      <c r="D58" s="71"/>
      <c r="E58" s="72"/>
      <c r="F58" s="73">
        <f>SUM(F54:F57)</f>
        <v>15507</v>
      </c>
      <c r="G58" s="71"/>
      <c r="H58" s="71"/>
      <c r="I58" s="71"/>
      <c r="J58" s="71"/>
      <c r="K58" s="74"/>
      <c r="L58" s="1"/>
      <c r="M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75" customHeight="1">
      <c r="A63" s="1"/>
      <c r="B63" s="151" t="s">
        <v>379</v>
      </c>
      <c r="C63" s="3"/>
      <c r="D63" s="3"/>
      <c r="E63" s="3"/>
      <c r="F63" s="3"/>
      <c r="G63" s="3"/>
      <c r="H63" s="3"/>
      <c r="I63" s="3"/>
      <c r="J63" s="3"/>
      <c r="K63" s="4"/>
      <c r="L63" s="1"/>
      <c r="M63" s="1"/>
    </row>
    <row r="64" ht="15.75" customHeight="1">
      <c r="A64" s="1"/>
      <c r="B64" s="5"/>
      <c r="C64" s="1"/>
      <c r="D64" s="1"/>
      <c r="E64" s="1"/>
      <c r="F64" s="1"/>
      <c r="G64" s="1"/>
      <c r="H64" s="1"/>
      <c r="I64" s="1"/>
      <c r="J64" s="1"/>
      <c r="K64" s="6"/>
      <c r="L64" s="1"/>
      <c r="M64" s="1"/>
    </row>
    <row r="65" ht="15.75" customHeight="1">
      <c r="A65" s="1"/>
      <c r="B65" s="135" t="s">
        <v>0</v>
      </c>
      <c r="C65" s="1"/>
      <c r="D65" s="8" t="s">
        <v>29</v>
      </c>
      <c r="E65" s="8" t="s">
        <v>3</v>
      </c>
      <c r="F65" s="8" t="s">
        <v>4</v>
      </c>
      <c r="G65" s="8" t="s">
        <v>8</v>
      </c>
      <c r="H65" s="1"/>
      <c r="I65" s="1"/>
      <c r="J65" s="1"/>
      <c r="K65" s="6"/>
      <c r="L65" s="1"/>
      <c r="M65" s="1"/>
    </row>
    <row r="66" ht="15.75" customHeight="1">
      <c r="A66" s="1"/>
      <c r="B66" s="28" t="s">
        <v>6</v>
      </c>
      <c r="C66" s="29"/>
      <c r="D66" s="30" t="s">
        <v>7</v>
      </c>
      <c r="E66" s="30" t="s">
        <v>7</v>
      </c>
      <c r="F66" s="30" t="s">
        <v>7</v>
      </c>
      <c r="G66" s="29"/>
      <c r="H66" s="1"/>
      <c r="I66" s="1"/>
      <c r="J66" s="1"/>
      <c r="K66" s="6"/>
      <c r="L66" s="1"/>
      <c r="M66" s="1"/>
    </row>
    <row r="67" ht="15.75" customHeight="1">
      <c r="A67" s="1"/>
      <c r="B67" s="14" t="s">
        <v>97</v>
      </c>
      <c r="C67" s="16"/>
      <c r="D67" s="15">
        <f>F76</f>
        <v>15300</v>
      </c>
      <c r="E67" s="16"/>
      <c r="F67" s="16"/>
      <c r="G67" s="16"/>
      <c r="H67" s="1"/>
      <c r="I67" s="1"/>
      <c r="J67" s="1"/>
      <c r="K67" s="6"/>
      <c r="L67" s="1"/>
      <c r="M67" s="1"/>
    </row>
    <row r="68" ht="15.75" customHeight="1">
      <c r="A68" s="1"/>
      <c r="B68" s="18" t="s">
        <v>48</v>
      </c>
      <c r="C68" s="20"/>
      <c r="D68" s="19">
        <f>-SUM(D82,F89)</f>
        <v>-13100</v>
      </c>
      <c r="E68" s="20"/>
      <c r="F68" s="20"/>
      <c r="G68" s="20"/>
      <c r="H68" s="1"/>
      <c r="I68" s="1"/>
      <c r="J68" s="1"/>
      <c r="K68" s="6"/>
      <c r="L68" s="1"/>
      <c r="M68" s="1"/>
    </row>
    <row r="69" ht="15.75" customHeight="1">
      <c r="A69" s="1"/>
      <c r="B69" s="31" t="s">
        <v>27</v>
      </c>
      <c r="C69" s="32"/>
      <c r="D69" s="33">
        <f>SUM(D67:D68)</f>
        <v>2200</v>
      </c>
      <c r="E69" s="32"/>
      <c r="F69" s="32"/>
      <c r="G69" s="32"/>
      <c r="H69" s="1"/>
      <c r="I69" s="1"/>
      <c r="J69" s="1"/>
      <c r="K69" s="6"/>
      <c r="L69" s="1"/>
      <c r="M69" s="1"/>
    </row>
    <row r="70" ht="15.75" customHeight="1">
      <c r="A70" s="1"/>
      <c r="B70" s="5"/>
      <c r="C70" s="1"/>
      <c r="D70" s="1"/>
      <c r="E70" s="1"/>
      <c r="F70" s="1"/>
      <c r="G70" s="1"/>
      <c r="H70" s="1"/>
      <c r="I70" s="1"/>
      <c r="J70" s="1"/>
      <c r="K70" s="6"/>
      <c r="L70" s="1"/>
      <c r="M70" s="1"/>
    </row>
    <row r="71" ht="15.75" customHeight="1">
      <c r="A71" s="1"/>
      <c r="B71" s="5"/>
      <c r="C71" s="1"/>
      <c r="D71" s="1"/>
      <c r="E71" s="1"/>
      <c r="F71" s="1"/>
      <c r="G71" s="1"/>
      <c r="H71" s="1"/>
      <c r="I71" s="1"/>
      <c r="J71" s="1"/>
      <c r="K71" s="6"/>
      <c r="L71" s="1"/>
      <c r="M71" s="1"/>
    </row>
    <row r="72" ht="15.75" customHeight="1">
      <c r="A72" s="1"/>
      <c r="B72" s="7" t="s">
        <v>97</v>
      </c>
      <c r="C72" s="1"/>
      <c r="D72" s="8" t="s">
        <v>29</v>
      </c>
      <c r="E72" s="1"/>
      <c r="F72" s="1"/>
      <c r="G72" s="8" t="s">
        <v>3</v>
      </c>
      <c r="H72" s="1"/>
      <c r="I72" s="1"/>
      <c r="J72" s="8" t="s">
        <v>4</v>
      </c>
      <c r="K72" s="76" t="s">
        <v>8</v>
      </c>
      <c r="L72" s="1"/>
      <c r="M72" s="1"/>
    </row>
    <row r="73" ht="15.75" customHeight="1">
      <c r="A73" s="1"/>
      <c r="B73" s="36" t="s">
        <v>6</v>
      </c>
      <c r="C73" s="37"/>
      <c r="D73" s="38" t="s">
        <v>38</v>
      </c>
      <c r="E73" s="38" t="s">
        <v>39</v>
      </c>
      <c r="F73" s="38" t="s">
        <v>7</v>
      </c>
      <c r="G73" s="38" t="s">
        <v>38</v>
      </c>
      <c r="H73" s="38" t="s">
        <v>39</v>
      </c>
      <c r="I73" s="38" t="s">
        <v>7</v>
      </c>
      <c r="J73" s="38" t="s">
        <v>7</v>
      </c>
      <c r="K73" s="136"/>
      <c r="L73" s="1"/>
      <c r="M73" s="1"/>
    </row>
    <row r="74" ht="15.75" customHeight="1">
      <c r="A74" s="1"/>
      <c r="B74" s="14" t="s">
        <v>102</v>
      </c>
      <c r="C74" s="16"/>
      <c r="D74" s="49">
        <v>300.0</v>
      </c>
      <c r="E74" s="15">
        <v>36.0</v>
      </c>
      <c r="F74" s="15">
        <f t="shared" ref="F74:F75" si="4">PRODUCT(D74:E74)</f>
        <v>10800</v>
      </c>
      <c r="G74" s="16"/>
      <c r="H74" s="16"/>
      <c r="I74" s="185">
        <f>0</f>
        <v>0</v>
      </c>
      <c r="J74" s="16"/>
      <c r="K74" s="17" t="s">
        <v>389</v>
      </c>
      <c r="L74" s="1"/>
      <c r="M74" s="1"/>
    </row>
    <row r="75" ht="15.75" customHeight="1">
      <c r="A75" s="1"/>
      <c r="B75" s="39" t="s">
        <v>376</v>
      </c>
      <c r="C75" s="40"/>
      <c r="D75" s="51">
        <v>300.0</v>
      </c>
      <c r="E75" s="43">
        <v>15.0</v>
      </c>
      <c r="F75" s="43">
        <f t="shared" si="4"/>
        <v>4500</v>
      </c>
      <c r="G75" s="40"/>
      <c r="H75" s="40"/>
      <c r="I75" s="186">
        <v>0.0</v>
      </c>
      <c r="J75" s="40"/>
      <c r="K75" s="56"/>
      <c r="L75" s="1"/>
      <c r="M75" s="1"/>
    </row>
    <row r="76" ht="15.75" customHeight="1">
      <c r="A76" s="1"/>
      <c r="B76" s="45" t="s">
        <v>27</v>
      </c>
      <c r="C76" s="46"/>
      <c r="D76" s="46"/>
      <c r="E76" s="53"/>
      <c r="F76" s="47">
        <f>SUM(F74:F75)</f>
        <v>15300</v>
      </c>
      <c r="G76" s="46"/>
      <c r="H76" s="46"/>
      <c r="I76" s="46"/>
      <c r="J76" s="46"/>
      <c r="K76" s="54"/>
      <c r="L76" s="1"/>
      <c r="M76" s="1"/>
    </row>
    <row r="77" ht="15.75" customHeight="1">
      <c r="A77" s="1"/>
      <c r="B77" s="5"/>
      <c r="C77" s="1"/>
      <c r="D77" s="1"/>
      <c r="E77" s="1"/>
      <c r="F77" s="1"/>
      <c r="G77" s="1"/>
      <c r="H77" s="1"/>
      <c r="I77" s="1"/>
      <c r="J77" s="1"/>
      <c r="K77" s="6"/>
      <c r="L77" s="1"/>
      <c r="M77" s="1"/>
    </row>
    <row r="78" ht="15.75" customHeight="1">
      <c r="A78" s="1"/>
      <c r="B78" s="5"/>
      <c r="C78" s="1"/>
      <c r="D78" s="1"/>
      <c r="E78" s="1"/>
      <c r="F78" s="1"/>
      <c r="G78" s="1"/>
      <c r="H78" s="1"/>
      <c r="I78" s="1"/>
      <c r="J78" s="1"/>
      <c r="K78" s="6"/>
      <c r="L78" s="1"/>
      <c r="M78" s="1"/>
    </row>
    <row r="79" ht="15.75" customHeight="1">
      <c r="A79" s="1"/>
      <c r="B79" s="135" t="s">
        <v>132</v>
      </c>
      <c r="C79" s="1"/>
      <c r="D79" s="8" t="s">
        <v>29</v>
      </c>
      <c r="E79" s="8" t="s">
        <v>3</v>
      </c>
      <c r="F79" s="8" t="s">
        <v>4</v>
      </c>
      <c r="G79" s="8" t="s">
        <v>8</v>
      </c>
      <c r="H79" s="1"/>
      <c r="I79" s="1"/>
      <c r="J79" s="1"/>
      <c r="K79" s="6"/>
      <c r="L79" s="1"/>
      <c r="M79" s="1"/>
    </row>
    <row r="80" ht="15.75" customHeight="1">
      <c r="A80" s="1"/>
      <c r="B80" s="57" t="s">
        <v>6</v>
      </c>
      <c r="C80" s="58"/>
      <c r="D80" s="59" t="s">
        <v>7</v>
      </c>
      <c r="E80" s="59" t="s">
        <v>7</v>
      </c>
      <c r="F80" s="59" t="s">
        <v>7</v>
      </c>
      <c r="G80" s="58"/>
      <c r="H80" s="1"/>
      <c r="I80" s="1"/>
      <c r="J80" s="1"/>
      <c r="K80" s="6"/>
      <c r="L80" s="1"/>
      <c r="M80" s="1"/>
    </row>
    <row r="81" ht="15.75" customHeight="1">
      <c r="A81" s="1"/>
      <c r="B81" s="14" t="s">
        <v>390</v>
      </c>
      <c r="C81" s="16"/>
      <c r="D81" s="15">
        <v>500.0</v>
      </c>
      <c r="E81" s="16"/>
      <c r="F81" s="16"/>
      <c r="G81" s="16"/>
      <c r="H81" s="1"/>
      <c r="I81" s="1"/>
      <c r="J81" s="1"/>
      <c r="K81" s="6"/>
      <c r="L81" s="1"/>
      <c r="M81" s="1"/>
    </row>
    <row r="82" ht="15.75" customHeight="1">
      <c r="A82" s="1"/>
      <c r="B82" s="145" t="s">
        <v>27</v>
      </c>
      <c r="C82" s="146"/>
      <c r="D82" s="148">
        <f>D81</f>
        <v>500</v>
      </c>
      <c r="E82" s="146"/>
      <c r="F82" s="146"/>
      <c r="G82" s="146"/>
      <c r="H82" s="1"/>
      <c r="I82" s="1"/>
      <c r="J82" s="1"/>
      <c r="K82" s="6"/>
      <c r="L82" s="1"/>
      <c r="M82" s="1"/>
    </row>
    <row r="83" ht="15.75" customHeight="1">
      <c r="A83" s="1"/>
      <c r="B83" s="5"/>
      <c r="C83" s="1"/>
      <c r="D83" s="1"/>
      <c r="E83" s="1"/>
      <c r="F83" s="1"/>
      <c r="G83" s="1"/>
      <c r="H83" s="1"/>
      <c r="I83" s="1"/>
      <c r="J83" s="1"/>
      <c r="K83" s="6"/>
      <c r="L83" s="1"/>
      <c r="M83" s="1"/>
    </row>
    <row r="84" ht="15.75" customHeight="1">
      <c r="A84" s="1"/>
      <c r="B84" s="5"/>
      <c r="C84" s="1"/>
      <c r="D84" s="1"/>
      <c r="E84" s="1"/>
      <c r="F84" s="1"/>
      <c r="G84" s="1"/>
      <c r="H84" s="1"/>
      <c r="I84" s="1"/>
      <c r="J84" s="1"/>
      <c r="K84" s="6"/>
      <c r="L84" s="1"/>
      <c r="M84" s="1"/>
    </row>
    <row r="85" ht="15.75" customHeight="1">
      <c r="A85" s="1"/>
      <c r="B85" s="135" t="s">
        <v>151</v>
      </c>
      <c r="C85" s="1"/>
      <c r="D85" s="8" t="s">
        <v>29</v>
      </c>
      <c r="E85" s="1"/>
      <c r="F85" s="1"/>
      <c r="G85" s="8" t="s">
        <v>3</v>
      </c>
      <c r="H85" s="1"/>
      <c r="I85" s="1"/>
      <c r="J85" s="8" t="s">
        <v>4</v>
      </c>
      <c r="K85" s="76" t="s">
        <v>8</v>
      </c>
      <c r="L85" s="1"/>
      <c r="M85" s="1"/>
    </row>
    <row r="86" ht="15.75" customHeight="1">
      <c r="A86" s="1"/>
      <c r="B86" s="57" t="s">
        <v>6</v>
      </c>
      <c r="C86" s="58"/>
      <c r="D86" s="59" t="s">
        <v>38</v>
      </c>
      <c r="E86" s="59" t="s">
        <v>39</v>
      </c>
      <c r="F86" s="59" t="s">
        <v>7</v>
      </c>
      <c r="G86" s="59" t="s">
        <v>38</v>
      </c>
      <c r="H86" s="59" t="s">
        <v>39</v>
      </c>
      <c r="I86" s="59" t="s">
        <v>7</v>
      </c>
      <c r="J86" s="59" t="s">
        <v>7</v>
      </c>
      <c r="K86" s="77"/>
      <c r="L86" s="1"/>
      <c r="M86" s="1"/>
    </row>
    <row r="87" ht="15.75" customHeight="1">
      <c r="A87" s="1"/>
      <c r="B87" s="14" t="s">
        <v>102</v>
      </c>
      <c r="C87" s="16"/>
      <c r="D87" s="49">
        <v>300.0</v>
      </c>
      <c r="E87" s="15">
        <f>34</f>
        <v>34</v>
      </c>
      <c r="F87" s="15">
        <f t="shared" ref="F87:F88" si="5">PRODUCT(D87:E87)</f>
        <v>10200</v>
      </c>
      <c r="G87" s="16"/>
      <c r="H87" s="16"/>
      <c r="I87" s="16"/>
      <c r="J87" s="16"/>
      <c r="K87" s="150" t="s">
        <v>391</v>
      </c>
      <c r="L87" s="1"/>
      <c r="M87" s="1"/>
    </row>
    <row r="88" ht="15.75" customHeight="1">
      <c r="A88" s="1"/>
      <c r="B88" s="61" t="s">
        <v>376</v>
      </c>
      <c r="C88" s="156"/>
      <c r="D88" s="156">
        <f>300</f>
        <v>300</v>
      </c>
      <c r="E88" s="187">
        <f>8</f>
        <v>8</v>
      </c>
      <c r="F88" s="64">
        <f t="shared" si="5"/>
        <v>2400</v>
      </c>
      <c r="G88" s="156"/>
      <c r="H88" s="156"/>
      <c r="I88" s="156"/>
      <c r="J88" s="156"/>
      <c r="K88" s="183"/>
      <c r="L88" s="1"/>
      <c r="M88" s="1"/>
    </row>
    <row r="89" ht="15.75" customHeight="1">
      <c r="A89" s="1"/>
      <c r="B89" s="70" t="s">
        <v>27</v>
      </c>
      <c r="C89" s="188"/>
      <c r="D89" s="188"/>
      <c r="E89" s="189"/>
      <c r="F89" s="73">
        <f>Sum(F87:F88)</f>
        <v>12600</v>
      </c>
      <c r="G89" s="188"/>
      <c r="H89" s="188"/>
      <c r="I89" s="188"/>
      <c r="J89" s="188"/>
      <c r="K89" s="190"/>
      <c r="L89" s="1"/>
      <c r="M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ht="15.75" customHeight="1">
      <c r="A94" s="1"/>
      <c r="B94" s="151" t="s">
        <v>381</v>
      </c>
      <c r="C94" s="179"/>
      <c r="D94" s="3"/>
      <c r="E94" s="3"/>
      <c r="F94" s="3"/>
      <c r="G94" s="3"/>
      <c r="H94" s="3"/>
      <c r="I94" s="3"/>
      <c r="J94" s="3"/>
      <c r="K94" s="4"/>
      <c r="L94" s="1"/>
      <c r="M94" s="1"/>
    </row>
    <row r="95" ht="15.75" customHeight="1">
      <c r="A95" s="1"/>
      <c r="B95" s="5"/>
      <c r="C95" s="1"/>
      <c r="D95" s="1"/>
      <c r="E95" s="1"/>
      <c r="F95" s="1"/>
      <c r="G95" s="1"/>
      <c r="H95" s="1"/>
      <c r="I95" s="1"/>
      <c r="J95" s="1"/>
      <c r="K95" s="6"/>
      <c r="L95" s="1"/>
      <c r="M95" s="1"/>
    </row>
    <row r="96" ht="15.75" customHeight="1">
      <c r="A96" s="1"/>
      <c r="B96" s="180" t="s">
        <v>1</v>
      </c>
      <c r="C96" s="1"/>
      <c r="D96" s="8" t="s">
        <v>29</v>
      </c>
      <c r="E96" s="8" t="s">
        <v>3</v>
      </c>
      <c r="F96" s="8" t="s">
        <v>4</v>
      </c>
      <c r="G96" s="8" t="s">
        <v>8</v>
      </c>
      <c r="H96" s="1"/>
      <c r="I96" s="1"/>
      <c r="J96" s="1"/>
      <c r="K96" s="6"/>
      <c r="L96" s="1"/>
      <c r="M96" s="1"/>
    </row>
    <row r="97" ht="15.75" customHeight="1">
      <c r="A97" s="1"/>
      <c r="B97" s="28" t="s">
        <v>6</v>
      </c>
      <c r="C97" s="29"/>
      <c r="D97" s="30" t="s">
        <v>7</v>
      </c>
      <c r="E97" s="30" t="s">
        <v>7</v>
      </c>
      <c r="F97" s="30" t="s">
        <v>7</v>
      </c>
      <c r="G97" s="29"/>
      <c r="H97" s="1"/>
      <c r="I97" s="1"/>
      <c r="J97" s="1"/>
      <c r="K97" s="6"/>
      <c r="L97" s="1"/>
      <c r="M97" s="1"/>
    </row>
    <row r="98" ht="15.75" customHeight="1">
      <c r="A98" s="1"/>
      <c r="B98" s="14" t="s">
        <v>97</v>
      </c>
      <c r="C98" s="16"/>
      <c r="D98" s="15">
        <f>F108</f>
        <v>2640</v>
      </c>
      <c r="E98" s="16"/>
      <c r="F98" s="16"/>
      <c r="G98" s="16"/>
      <c r="H98" s="1"/>
      <c r="I98" s="1"/>
      <c r="J98" s="1"/>
      <c r="K98" s="6"/>
      <c r="L98" s="1"/>
      <c r="M98" s="1"/>
    </row>
    <row r="99" ht="15.75" customHeight="1">
      <c r="A99" s="1"/>
      <c r="B99" s="18" t="s">
        <v>78</v>
      </c>
      <c r="C99" s="20"/>
      <c r="D99" s="19">
        <f>-F114</f>
        <v>-2640</v>
      </c>
      <c r="E99" s="20"/>
      <c r="F99" s="20"/>
      <c r="G99" s="20"/>
      <c r="H99" s="1"/>
      <c r="I99" s="1"/>
      <c r="J99" s="1"/>
      <c r="K99" s="6"/>
      <c r="L99" s="1"/>
      <c r="M99" s="1"/>
    </row>
    <row r="100" ht="15.75" customHeight="1">
      <c r="A100" s="1"/>
      <c r="B100" s="31" t="s">
        <v>27</v>
      </c>
      <c r="C100" s="32"/>
      <c r="D100" s="33">
        <f>SUM(D98:D99)</f>
        <v>0</v>
      </c>
      <c r="E100" s="32"/>
      <c r="F100" s="32"/>
      <c r="G100" s="32"/>
      <c r="H100" s="1"/>
      <c r="I100" s="1"/>
      <c r="J100" s="1"/>
      <c r="K100" s="6"/>
      <c r="L100" s="1"/>
      <c r="M100" s="1"/>
    </row>
    <row r="101" ht="15.75" customHeight="1">
      <c r="A101" s="1"/>
      <c r="B101" s="5"/>
      <c r="C101" s="1"/>
      <c r="D101" s="1"/>
      <c r="E101" s="1"/>
      <c r="F101" s="1"/>
      <c r="G101" s="1"/>
      <c r="H101" s="1"/>
      <c r="I101" s="1"/>
      <c r="J101" s="1"/>
      <c r="K101" s="6"/>
      <c r="L101" s="1"/>
      <c r="M101" s="1"/>
    </row>
    <row r="102" ht="15.75" customHeight="1">
      <c r="A102" s="1"/>
      <c r="B102" s="5"/>
      <c r="C102" s="1"/>
      <c r="D102" s="1"/>
      <c r="E102" s="1"/>
      <c r="F102" s="1"/>
      <c r="G102" s="1"/>
      <c r="H102" s="1"/>
      <c r="I102" s="1"/>
      <c r="J102" s="1"/>
      <c r="K102" s="6"/>
      <c r="L102" s="1"/>
      <c r="M102" s="1"/>
    </row>
    <row r="103" ht="15.75" customHeight="1">
      <c r="A103" s="1"/>
      <c r="B103" s="135" t="s">
        <v>257</v>
      </c>
      <c r="C103" s="1"/>
      <c r="D103" s="8" t="s">
        <v>29</v>
      </c>
      <c r="E103" s="1"/>
      <c r="F103" s="1"/>
      <c r="G103" s="8" t="s">
        <v>3</v>
      </c>
      <c r="H103" s="8"/>
      <c r="I103" s="8"/>
      <c r="J103" s="8" t="s">
        <v>4</v>
      </c>
      <c r="K103" s="76" t="s">
        <v>8</v>
      </c>
      <c r="L103" s="1"/>
      <c r="M103" s="1"/>
    </row>
    <row r="104" ht="15.75" customHeight="1">
      <c r="A104" s="1"/>
      <c r="B104" s="36" t="s">
        <v>6</v>
      </c>
      <c r="C104" s="37"/>
      <c r="D104" s="38" t="s">
        <v>38</v>
      </c>
      <c r="E104" s="38" t="s">
        <v>39</v>
      </c>
      <c r="F104" s="38" t="s">
        <v>7</v>
      </c>
      <c r="G104" s="38" t="s">
        <v>38</v>
      </c>
      <c r="H104" s="38" t="s">
        <v>39</v>
      </c>
      <c r="I104" s="38" t="s">
        <v>7</v>
      </c>
      <c r="J104" s="38" t="s">
        <v>7</v>
      </c>
      <c r="K104" s="136"/>
      <c r="L104" s="1"/>
      <c r="M104" s="1"/>
    </row>
    <row r="105" ht="15.75" customHeight="1">
      <c r="A105" s="1"/>
      <c r="B105" s="14" t="s">
        <v>116</v>
      </c>
      <c r="C105" s="16"/>
      <c r="D105" s="49">
        <v>104.0</v>
      </c>
      <c r="E105" s="15">
        <f t="shared" ref="E105:E107" si="6">22</f>
        <v>22</v>
      </c>
      <c r="F105" s="15">
        <f t="shared" ref="F105:F107" si="7">PRODUCT(D105:E105)</f>
        <v>2288</v>
      </c>
      <c r="G105" s="16"/>
      <c r="H105" s="16"/>
      <c r="I105" s="16"/>
      <c r="J105" s="16"/>
      <c r="K105" s="17" t="s">
        <v>157</v>
      </c>
      <c r="L105" s="1"/>
      <c r="M105" s="1"/>
    </row>
    <row r="106" ht="15.75" customHeight="1">
      <c r="A106" s="1"/>
      <c r="B106" s="39" t="s">
        <v>119</v>
      </c>
      <c r="C106" s="40"/>
      <c r="D106" s="51">
        <v>10.0</v>
      </c>
      <c r="E106" s="43">
        <f t="shared" si="6"/>
        <v>22</v>
      </c>
      <c r="F106" s="43">
        <f t="shared" si="7"/>
        <v>220</v>
      </c>
      <c r="G106" s="40"/>
      <c r="H106" s="40"/>
      <c r="I106" s="40"/>
      <c r="J106" s="40"/>
      <c r="K106" s="56" t="s">
        <v>157</v>
      </c>
      <c r="L106" s="1"/>
      <c r="M106" s="1"/>
    </row>
    <row r="107" ht="15.75" customHeight="1">
      <c r="A107" s="1"/>
      <c r="B107" s="14" t="s">
        <v>120</v>
      </c>
      <c r="C107" s="16"/>
      <c r="D107" s="49">
        <v>6.0</v>
      </c>
      <c r="E107" s="15">
        <f t="shared" si="6"/>
        <v>22</v>
      </c>
      <c r="F107" s="15">
        <f t="shared" si="7"/>
        <v>132</v>
      </c>
      <c r="G107" s="16"/>
      <c r="H107" s="16"/>
      <c r="I107" s="16"/>
      <c r="J107" s="16"/>
      <c r="K107" s="17" t="s">
        <v>157</v>
      </c>
      <c r="L107" s="1"/>
      <c r="M107" s="1"/>
    </row>
    <row r="108" ht="15.75" customHeight="1">
      <c r="A108" s="1"/>
      <c r="B108" s="45" t="s">
        <v>27</v>
      </c>
      <c r="C108" s="46"/>
      <c r="D108" s="46"/>
      <c r="E108" s="53"/>
      <c r="F108" s="47">
        <f>SUM(F105:F107)</f>
        <v>2640</v>
      </c>
      <c r="G108" s="46"/>
      <c r="H108" s="46"/>
      <c r="I108" s="46"/>
      <c r="J108" s="46"/>
      <c r="K108" s="54"/>
      <c r="L108" s="1"/>
      <c r="M108" s="1"/>
    </row>
    <row r="109" ht="15.75" customHeight="1">
      <c r="A109" s="1"/>
      <c r="B109" s="5"/>
      <c r="C109" s="1"/>
      <c r="D109" s="1"/>
      <c r="E109" s="1"/>
      <c r="F109" s="1"/>
      <c r="G109" s="1"/>
      <c r="H109" s="1"/>
      <c r="I109" s="1"/>
      <c r="J109" s="1"/>
      <c r="K109" s="6"/>
      <c r="L109" s="1"/>
      <c r="M109" s="1"/>
    </row>
    <row r="110" ht="15.75" customHeight="1">
      <c r="A110" s="1"/>
      <c r="B110" s="7" t="s">
        <v>78</v>
      </c>
      <c r="C110" s="1"/>
      <c r="D110" s="8" t="s">
        <v>29</v>
      </c>
      <c r="E110" s="1"/>
      <c r="F110" s="1"/>
      <c r="G110" s="8" t="s">
        <v>3</v>
      </c>
      <c r="H110" s="8"/>
      <c r="I110" s="8"/>
      <c r="J110" s="8" t="s">
        <v>4</v>
      </c>
      <c r="K110" s="76" t="s">
        <v>8</v>
      </c>
      <c r="L110" s="1"/>
      <c r="M110" s="1"/>
    </row>
    <row r="111" ht="15.75" customHeight="1">
      <c r="A111" s="1"/>
      <c r="B111" s="57" t="s">
        <v>6</v>
      </c>
      <c r="C111" s="58"/>
      <c r="D111" s="59" t="s">
        <v>38</v>
      </c>
      <c r="E111" s="59" t="s">
        <v>39</v>
      </c>
      <c r="F111" s="59" t="s">
        <v>7</v>
      </c>
      <c r="G111" s="59" t="s">
        <v>38</v>
      </c>
      <c r="H111" s="59" t="s">
        <v>39</v>
      </c>
      <c r="I111" s="59" t="s">
        <v>7</v>
      </c>
      <c r="J111" s="59" t="s">
        <v>7</v>
      </c>
      <c r="K111" s="77"/>
      <c r="L111" s="1"/>
      <c r="M111" s="1"/>
    </row>
    <row r="112" ht="15.75" customHeight="1">
      <c r="A112" s="1"/>
      <c r="B112" s="14" t="s">
        <v>102</v>
      </c>
      <c r="C112" s="16"/>
      <c r="D112" s="49">
        <f>120</f>
        <v>120</v>
      </c>
      <c r="E112" s="15">
        <f>18</f>
        <v>18</v>
      </c>
      <c r="F112" s="15">
        <f t="shared" ref="F112:F113" si="8">PRODUCT(D112:E112)</f>
        <v>2160</v>
      </c>
      <c r="G112" s="16"/>
      <c r="H112" s="16"/>
      <c r="I112" s="16"/>
      <c r="J112" s="16"/>
      <c r="K112" s="55" t="s">
        <v>392</v>
      </c>
      <c r="L112" s="1"/>
      <c r="M112" s="1"/>
    </row>
    <row r="113" ht="15.75" customHeight="1">
      <c r="A113" s="1"/>
      <c r="B113" s="61" t="s">
        <v>376</v>
      </c>
      <c r="C113" s="62"/>
      <c r="D113" s="63">
        <f>D112</f>
        <v>120</v>
      </c>
      <c r="E113" s="64">
        <f>4</f>
        <v>4</v>
      </c>
      <c r="F113" s="64">
        <f t="shared" si="8"/>
        <v>480</v>
      </c>
      <c r="G113" s="62"/>
      <c r="H113" s="62"/>
      <c r="I113" s="62"/>
      <c r="J113" s="62"/>
      <c r="K113" s="65" t="s">
        <v>393</v>
      </c>
      <c r="L113" s="1"/>
      <c r="M113" s="1"/>
    </row>
    <row r="114" ht="15.75" customHeight="1">
      <c r="A114" s="1"/>
      <c r="B114" s="70" t="s">
        <v>27</v>
      </c>
      <c r="C114" s="71"/>
      <c r="D114" s="71"/>
      <c r="E114" s="72"/>
      <c r="F114" s="73">
        <f>SUM(F112:F113)</f>
        <v>2640</v>
      </c>
      <c r="G114" s="71"/>
      <c r="H114" s="71"/>
      <c r="I114" s="71"/>
      <c r="J114" s="71"/>
      <c r="K114" s="74"/>
      <c r="L114" s="1"/>
      <c r="M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ht="15.75" customHeight="1">
      <c r="A118" s="1"/>
      <c r="B118" s="191"/>
      <c r="C118" s="3"/>
      <c r="D118" s="3"/>
      <c r="E118" s="3"/>
      <c r="F118" s="3"/>
      <c r="G118" s="3"/>
      <c r="H118" s="3"/>
      <c r="I118" s="3"/>
      <c r="J118" s="3"/>
      <c r="K118" s="4"/>
      <c r="L118" s="1"/>
      <c r="M118" s="1"/>
    </row>
    <row r="119" ht="15.75" customHeight="1">
      <c r="A119" s="1"/>
      <c r="B119" s="192" t="s">
        <v>380</v>
      </c>
      <c r="D119" s="1"/>
      <c r="E119" s="1"/>
      <c r="F119" s="1"/>
      <c r="G119" s="1"/>
      <c r="H119" s="1"/>
      <c r="I119" s="1"/>
      <c r="J119" s="1"/>
      <c r="K119" s="6"/>
      <c r="L119" s="1"/>
      <c r="M119" s="1"/>
    </row>
    <row r="120" ht="15.75" customHeight="1">
      <c r="A120" s="1"/>
      <c r="B120" s="5"/>
      <c r="C120" s="1"/>
      <c r="D120" s="1"/>
      <c r="E120" s="1"/>
      <c r="F120" s="1"/>
      <c r="G120" s="1"/>
      <c r="H120" s="1"/>
      <c r="I120" s="1"/>
      <c r="J120" s="1"/>
      <c r="K120" s="6"/>
      <c r="L120" s="1"/>
      <c r="M120" s="1"/>
    </row>
    <row r="121" ht="15.75" customHeight="1">
      <c r="A121" s="1"/>
      <c r="B121" s="180" t="s">
        <v>1</v>
      </c>
      <c r="C121" s="1"/>
      <c r="D121" s="8" t="s">
        <v>29</v>
      </c>
      <c r="E121" s="8" t="s">
        <v>3</v>
      </c>
      <c r="F121" s="8" t="s">
        <v>4</v>
      </c>
      <c r="G121" s="8" t="s">
        <v>8</v>
      </c>
      <c r="H121" s="1"/>
      <c r="I121" s="1"/>
      <c r="J121" s="1"/>
      <c r="K121" s="6"/>
      <c r="L121" s="1"/>
      <c r="M121" s="1"/>
    </row>
    <row r="122" ht="15.75" customHeight="1">
      <c r="A122" s="1"/>
      <c r="B122" s="28" t="s">
        <v>6</v>
      </c>
      <c r="C122" s="29"/>
      <c r="D122" s="30" t="s">
        <v>7</v>
      </c>
      <c r="E122" s="30" t="s">
        <v>7</v>
      </c>
      <c r="F122" s="30" t="s">
        <v>7</v>
      </c>
      <c r="G122" s="29"/>
      <c r="H122" s="1"/>
      <c r="I122" s="1"/>
      <c r="J122" s="1"/>
      <c r="K122" s="6"/>
      <c r="L122" s="1"/>
      <c r="M122" s="1"/>
    </row>
    <row r="123" ht="15.75" customHeight="1">
      <c r="A123" s="1"/>
      <c r="B123" s="14" t="s">
        <v>97</v>
      </c>
      <c r="C123" s="16"/>
      <c r="D123" s="15">
        <f>F133</f>
        <v>16940</v>
      </c>
      <c r="E123" s="16"/>
      <c r="F123" s="16"/>
      <c r="G123" s="16"/>
      <c r="H123" s="1"/>
      <c r="I123" s="1"/>
      <c r="J123" s="1"/>
      <c r="K123" s="6"/>
      <c r="L123" s="1"/>
      <c r="M123" s="1"/>
    </row>
    <row r="124" ht="15.75" customHeight="1">
      <c r="A124" s="1"/>
      <c r="B124" s="193" t="s">
        <v>48</v>
      </c>
      <c r="C124" s="194"/>
      <c r="D124" s="195">
        <f>-F133</f>
        <v>-16940</v>
      </c>
      <c r="E124" s="194"/>
      <c r="F124" s="194"/>
      <c r="G124" s="194"/>
      <c r="H124" s="1"/>
      <c r="I124" s="1"/>
      <c r="J124" s="1"/>
      <c r="K124" s="6"/>
      <c r="L124" s="1"/>
      <c r="M124" s="1"/>
    </row>
    <row r="125" ht="15.75" customHeight="1">
      <c r="A125" s="1"/>
      <c r="B125" s="31" t="s">
        <v>27</v>
      </c>
      <c r="C125" s="32"/>
      <c r="D125" s="33">
        <f>SUM(D123:D124)</f>
        <v>0</v>
      </c>
      <c r="E125" s="32"/>
      <c r="F125" s="32"/>
      <c r="G125" s="32"/>
      <c r="H125" s="1"/>
      <c r="I125" s="1"/>
      <c r="J125" s="1"/>
      <c r="K125" s="6"/>
      <c r="L125" s="1"/>
      <c r="M125" s="1"/>
    </row>
    <row r="126" ht="15.75" customHeight="1">
      <c r="A126" s="1"/>
      <c r="B126" s="5"/>
      <c r="C126" s="1"/>
      <c r="D126" s="1"/>
      <c r="E126" s="1"/>
      <c r="F126" s="1"/>
      <c r="G126" s="1"/>
      <c r="H126" s="1"/>
      <c r="I126" s="1"/>
      <c r="J126" s="1"/>
      <c r="K126" s="6"/>
      <c r="L126" s="1"/>
      <c r="M126" s="1"/>
    </row>
    <row r="127" ht="15.75" customHeight="1">
      <c r="A127" s="1"/>
      <c r="B127" s="5"/>
      <c r="C127" s="1"/>
      <c r="D127" s="1"/>
      <c r="E127" s="1"/>
      <c r="F127" s="1"/>
      <c r="G127" s="1"/>
      <c r="H127" s="1"/>
      <c r="I127" s="1"/>
      <c r="J127" s="1"/>
      <c r="K127" s="6"/>
      <c r="L127" s="1"/>
      <c r="M127" s="1"/>
    </row>
    <row r="128" ht="15.75" customHeight="1">
      <c r="A128" s="1"/>
      <c r="B128" s="135" t="s">
        <v>257</v>
      </c>
      <c r="C128" s="1"/>
      <c r="D128" s="8" t="s">
        <v>29</v>
      </c>
      <c r="E128" s="1"/>
      <c r="F128" s="1"/>
      <c r="G128" s="8" t="s">
        <v>3</v>
      </c>
      <c r="H128" s="8"/>
      <c r="I128" s="8"/>
      <c r="J128" s="8" t="s">
        <v>4</v>
      </c>
      <c r="K128" s="76" t="s">
        <v>8</v>
      </c>
      <c r="L128" s="1"/>
      <c r="M128" s="1"/>
    </row>
    <row r="129" ht="15.75" customHeight="1">
      <c r="A129" s="1"/>
      <c r="B129" s="36" t="s">
        <v>6</v>
      </c>
      <c r="C129" s="37"/>
      <c r="D129" s="38" t="s">
        <v>38</v>
      </c>
      <c r="E129" s="38" t="s">
        <v>39</v>
      </c>
      <c r="F129" s="38" t="s">
        <v>7</v>
      </c>
      <c r="G129" s="38" t="s">
        <v>38</v>
      </c>
      <c r="H129" s="38" t="s">
        <v>39</v>
      </c>
      <c r="I129" s="38" t="s">
        <v>7</v>
      </c>
      <c r="J129" s="38" t="s">
        <v>7</v>
      </c>
      <c r="K129" s="136"/>
      <c r="L129" s="1"/>
      <c r="M129" s="1"/>
    </row>
    <row r="130" ht="15.75" customHeight="1">
      <c r="A130" s="1"/>
      <c r="B130" s="14" t="s">
        <v>116</v>
      </c>
      <c r="C130" s="16"/>
      <c r="D130" s="49">
        <v>107.0</v>
      </c>
      <c r="E130" s="15">
        <v>140.0</v>
      </c>
      <c r="F130" s="15">
        <f>PRODUCT(D130,E130)</f>
        <v>14980</v>
      </c>
      <c r="G130" s="16"/>
      <c r="H130" s="16"/>
      <c r="I130" s="16"/>
      <c r="J130" s="16"/>
      <c r="K130" s="17"/>
      <c r="L130" s="1"/>
      <c r="M130" s="1"/>
    </row>
    <row r="131" ht="15.75" customHeight="1">
      <c r="A131" s="1"/>
      <c r="B131" s="39" t="s">
        <v>119</v>
      </c>
      <c r="C131" s="40"/>
      <c r="D131" s="51">
        <v>10.0</v>
      </c>
      <c r="E131" s="43">
        <f>130</f>
        <v>130</v>
      </c>
      <c r="F131" s="43">
        <f t="shared" ref="F131:F132" si="9">PRODUCT(D131:E131)</f>
        <v>1300</v>
      </c>
      <c r="G131" s="40"/>
      <c r="H131" s="40"/>
      <c r="I131" s="40"/>
      <c r="J131" s="40"/>
      <c r="K131" s="56"/>
      <c r="L131" s="1"/>
      <c r="M131" s="1"/>
    </row>
    <row r="132" ht="15.75" customHeight="1">
      <c r="A132" s="1"/>
      <c r="B132" s="14" t="s">
        <v>120</v>
      </c>
      <c r="C132" s="16"/>
      <c r="D132" s="49">
        <v>6.0</v>
      </c>
      <c r="E132" s="15">
        <v>110.0</v>
      </c>
      <c r="F132" s="15">
        <f t="shared" si="9"/>
        <v>660</v>
      </c>
      <c r="G132" s="16"/>
      <c r="H132" s="16"/>
      <c r="I132" s="16"/>
      <c r="J132" s="16"/>
      <c r="K132" s="17"/>
      <c r="L132" s="1"/>
      <c r="M132" s="1"/>
    </row>
    <row r="133" ht="15.75" customHeight="1">
      <c r="A133" s="1"/>
      <c r="B133" s="196" t="s">
        <v>27</v>
      </c>
      <c r="C133" s="197"/>
      <c r="D133" s="197"/>
      <c r="E133" s="198"/>
      <c r="F133" s="199">
        <f>SUM(F130:F132)</f>
        <v>16940</v>
      </c>
      <c r="G133" s="197"/>
      <c r="H133" s="197"/>
      <c r="I133" s="197"/>
      <c r="J133" s="197"/>
      <c r="K133" s="200"/>
      <c r="L133" s="1"/>
      <c r="M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ht="15.75" customHeight="1">
      <c r="A138" s="1"/>
      <c r="B138" s="201"/>
      <c r="C138" s="128"/>
      <c r="D138" s="128"/>
      <c r="E138" s="128"/>
      <c r="F138" s="128"/>
      <c r="G138" s="128"/>
      <c r="H138" s="128"/>
      <c r="I138" s="128"/>
      <c r="J138" s="128"/>
      <c r="K138" s="128"/>
      <c r="L138" s="1"/>
      <c r="M138" s="1"/>
    </row>
    <row r="139" ht="15.75" customHeight="1">
      <c r="A139" s="1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"/>
      <c r="M139" s="1"/>
    </row>
    <row r="140" ht="15.75" customHeight="1">
      <c r="A140" s="1"/>
      <c r="B140" s="202"/>
      <c r="C140" s="128"/>
      <c r="D140" s="202"/>
      <c r="E140" s="202"/>
      <c r="F140" s="202"/>
      <c r="G140" s="202"/>
      <c r="H140" s="128"/>
      <c r="I140" s="128"/>
      <c r="J140" s="128"/>
      <c r="K140" s="128"/>
      <c r="L140" s="1"/>
      <c r="M140" s="1"/>
    </row>
    <row r="141" ht="15.75" customHeight="1">
      <c r="A141" s="1"/>
      <c r="B141" s="203"/>
      <c r="C141" s="128"/>
      <c r="D141" s="203"/>
      <c r="E141" s="203"/>
      <c r="F141" s="203"/>
      <c r="G141" s="128"/>
      <c r="H141" s="128"/>
      <c r="I141" s="128"/>
      <c r="J141" s="128"/>
      <c r="K141" s="128"/>
      <c r="L141" s="1"/>
      <c r="M141" s="1"/>
    </row>
    <row r="142" ht="15.75" customHeight="1">
      <c r="A142" s="1"/>
      <c r="B142" s="204"/>
      <c r="C142" s="128"/>
      <c r="D142" s="130"/>
      <c r="E142" s="128"/>
      <c r="F142" s="128"/>
      <c r="G142" s="128"/>
      <c r="H142" s="128"/>
      <c r="I142" s="128"/>
      <c r="J142" s="128"/>
      <c r="K142" s="128"/>
      <c r="L142" s="1"/>
      <c r="M142" s="1"/>
    </row>
    <row r="143" ht="15.75" customHeight="1">
      <c r="A143" s="1"/>
      <c r="B143" s="205"/>
      <c r="C143" s="128"/>
      <c r="D143" s="181"/>
      <c r="E143" s="128"/>
      <c r="F143" s="128"/>
      <c r="G143" s="128"/>
      <c r="H143" s="128"/>
      <c r="I143" s="128"/>
      <c r="J143" s="128"/>
      <c r="K143" s="128"/>
      <c r="L143" s="1"/>
      <c r="M143" s="1"/>
    </row>
    <row r="144" ht="15.75" customHeight="1">
      <c r="A144" s="1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"/>
      <c r="M144" s="1"/>
    </row>
    <row r="145" ht="15.75" customHeight="1">
      <c r="A145" s="1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"/>
      <c r="M145" s="1"/>
    </row>
    <row r="146" ht="15.75" customHeight="1">
      <c r="A146" s="1"/>
      <c r="B146" s="206"/>
      <c r="C146" s="128"/>
      <c r="D146" s="202"/>
      <c r="E146" s="128"/>
      <c r="F146" s="128"/>
      <c r="G146" s="202"/>
      <c r="H146" s="202"/>
      <c r="I146" s="202"/>
      <c r="J146" s="202"/>
      <c r="K146" s="202"/>
      <c r="L146" s="1"/>
      <c r="M146" s="1"/>
    </row>
    <row r="147" ht="15.75" customHeight="1">
      <c r="A147" s="1"/>
      <c r="B147" s="203"/>
      <c r="C147" s="128"/>
      <c r="D147" s="203"/>
      <c r="E147" s="203"/>
      <c r="F147" s="203"/>
      <c r="G147" s="203"/>
      <c r="H147" s="203"/>
      <c r="I147" s="203"/>
      <c r="J147" s="203"/>
      <c r="K147" s="128"/>
      <c r="L147" s="1"/>
      <c r="M147" s="1"/>
    </row>
    <row r="148" ht="15.75" customHeight="1">
      <c r="A148" s="1"/>
      <c r="B148" s="204"/>
      <c r="C148" s="128"/>
      <c r="D148" s="129"/>
      <c r="E148" s="130"/>
      <c r="F148" s="130"/>
      <c r="G148" s="128"/>
      <c r="H148" s="128"/>
      <c r="I148" s="128"/>
      <c r="J148" s="128"/>
      <c r="K148" s="128"/>
      <c r="L148" s="1"/>
      <c r="M148" s="1"/>
    </row>
    <row r="149" ht="15.75" customHeight="1">
      <c r="B149" s="204"/>
      <c r="C149" s="128"/>
      <c r="D149" s="129"/>
      <c r="E149" s="130"/>
      <c r="F149" s="130"/>
      <c r="G149" s="128"/>
      <c r="H149" s="128"/>
      <c r="I149" s="128"/>
      <c r="J149" s="128"/>
      <c r="K149" s="128"/>
    </row>
    <row r="150" ht="15.75" customHeight="1">
      <c r="B150" s="204"/>
      <c r="C150" s="128"/>
      <c r="D150" s="129"/>
      <c r="E150" s="130"/>
      <c r="F150" s="130"/>
      <c r="G150" s="128"/>
      <c r="H150" s="128"/>
      <c r="I150" s="128"/>
      <c r="J150" s="128"/>
      <c r="K150" s="128"/>
    </row>
    <row r="151" ht="15.75" customHeight="1">
      <c r="B151" s="205"/>
      <c r="C151" s="128"/>
      <c r="D151" s="128"/>
      <c r="E151" s="184"/>
      <c r="F151" s="181"/>
      <c r="G151" s="128"/>
      <c r="H151" s="128"/>
      <c r="I151" s="128"/>
      <c r="J151" s="128"/>
      <c r="K151" s="128"/>
    </row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">
    <mergeCell ref="B34:C34"/>
    <mergeCell ref="B94:C94"/>
    <mergeCell ref="B119:C119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5.88"/>
  </cols>
  <sheetData>
    <row r="1" ht="15.75" customHeight="1"/>
    <row r="2" ht="15.75" customHeight="1"/>
    <row r="3" ht="15.75" customHeight="1">
      <c r="B3" s="207" t="s">
        <v>394</v>
      </c>
      <c r="J3" s="207" t="s">
        <v>395</v>
      </c>
    </row>
    <row r="4" ht="15.75" customHeight="1"/>
    <row r="5" ht="15.75" customHeight="1"/>
    <row r="6" ht="15.75" customHeight="1">
      <c r="B6" s="208"/>
      <c r="C6" s="209" t="s">
        <v>396</v>
      </c>
      <c r="D6" s="209" t="s">
        <v>397</v>
      </c>
      <c r="E6" s="210" t="s">
        <v>106</v>
      </c>
      <c r="F6" s="208"/>
      <c r="G6" s="208"/>
      <c r="H6" s="208"/>
      <c r="J6" s="26" t="s">
        <v>398</v>
      </c>
      <c r="K6" s="26" t="s">
        <v>397</v>
      </c>
      <c r="L6" s="26" t="s">
        <v>106</v>
      </c>
    </row>
    <row r="7" ht="15.75" customHeight="1">
      <c r="A7" s="211" t="s">
        <v>399</v>
      </c>
      <c r="B7" s="212" t="s">
        <v>400</v>
      </c>
      <c r="C7" s="213">
        <f>'PhÄLGH'!E39</f>
        <v>90</v>
      </c>
      <c r="D7" s="213">
        <f>'PhÄLGH'!E40</f>
        <v>90</v>
      </c>
      <c r="E7" s="214">
        <f>'PhÄLGH'!E41</f>
        <v>70</v>
      </c>
      <c r="F7" s="215"/>
      <c r="G7" s="215" t="s">
        <v>401</v>
      </c>
      <c r="H7" s="215"/>
      <c r="I7" s="26" t="s">
        <v>400</v>
      </c>
      <c r="J7" s="216">
        <f>'PhÄLGH'!E47</f>
        <v>140</v>
      </c>
      <c r="K7" s="216">
        <f>'PhÄLGH'!E48</f>
        <v>140</v>
      </c>
      <c r="L7" s="216">
        <f>'PhÄLGH'!E49</f>
        <v>120</v>
      </c>
      <c r="M7" s="26" t="str">
        <f>'PhÄLGH'!L41</f>
        <v/>
      </c>
    </row>
    <row r="8" ht="15.75" customHeight="1">
      <c r="A8" s="211" t="s">
        <v>402</v>
      </c>
      <c r="B8" s="212" t="s">
        <v>403</v>
      </c>
      <c r="C8" s="217">
        <f>'PhÄLGH'!E95</f>
        <v>210</v>
      </c>
      <c r="D8" s="217">
        <f>'PhÄLGH'!E96</f>
        <v>210</v>
      </c>
      <c r="E8" s="218">
        <f>'PhÄLGH'!E97</f>
        <v>124</v>
      </c>
      <c r="F8" s="215"/>
      <c r="G8" s="215" t="s">
        <v>401</v>
      </c>
      <c r="H8" s="215"/>
    </row>
    <row r="9" ht="15.75" customHeight="1">
      <c r="A9" s="211" t="s">
        <v>404</v>
      </c>
      <c r="B9" s="212" t="s">
        <v>19</v>
      </c>
      <c r="C9" s="217">
        <f>n0g!E28</f>
        <v>385</v>
      </c>
      <c r="D9" s="217">
        <f>n0g!E29</f>
        <v>385</v>
      </c>
      <c r="E9" s="218">
        <f>n0g!E30</f>
        <v>360</v>
      </c>
      <c r="F9" s="215"/>
      <c r="G9" s="215" t="s">
        <v>401</v>
      </c>
      <c r="H9" s="215"/>
    </row>
    <row r="10" ht="15.75" customHeight="1">
      <c r="A10" s="211" t="s">
        <v>405</v>
      </c>
      <c r="B10" s="212" t="s">
        <v>406</v>
      </c>
      <c r="C10" s="217">
        <f>'nUppÖk'!E54</f>
        <v>65</v>
      </c>
      <c r="D10" s="217">
        <f>'nUppÖk'!E55</f>
        <v>80</v>
      </c>
      <c r="E10" s="218">
        <f>'nUppÖk'!E56</f>
        <v>50</v>
      </c>
      <c r="F10" s="215"/>
      <c r="G10" s="215" t="s">
        <v>401</v>
      </c>
      <c r="H10" s="215"/>
    </row>
    <row r="11" ht="15.75" customHeight="1">
      <c r="A11" s="211" t="s">
        <v>407</v>
      </c>
      <c r="B11" s="212" t="s">
        <v>408</v>
      </c>
      <c r="C11" s="217">
        <f>HVM!E45</f>
        <v>108</v>
      </c>
      <c r="D11" s="217">
        <f>HVM!E46</f>
        <v>108</v>
      </c>
      <c r="E11" s="218">
        <f>HVM!E47</f>
        <v>108</v>
      </c>
      <c r="F11" s="215"/>
      <c r="G11" s="215" t="s">
        <v>401</v>
      </c>
      <c r="H11" s="215"/>
    </row>
    <row r="12" ht="15.75" customHeight="1">
      <c r="A12" s="211" t="s">
        <v>409</v>
      </c>
      <c r="B12" s="212" t="s">
        <v>410</v>
      </c>
      <c r="C12" s="217">
        <f>HVM!E77</f>
        <v>125</v>
      </c>
      <c r="D12" s="217">
        <f>HVM!E78</f>
        <v>125</v>
      </c>
      <c r="E12" s="218">
        <f>HVM!E79</f>
        <v>90</v>
      </c>
      <c r="F12" s="215"/>
      <c r="G12" s="215" t="s">
        <v>401</v>
      </c>
      <c r="H12" s="215"/>
    </row>
    <row r="13" ht="15.75" customHeight="1">
      <c r="A13" s="211" t="s">
        <v>411</v>
      </c>
      <c r="B13" s="212" t="s">
        <v>412</v>
      </c>
      <c r="C13" s="217">
        <f>HVM!E107</f>
        <v>125</v>
      </c>
      <c r="D13" s="217">
        <f>HVM!E108</f>
        <v>125</v>
      </c>
      <c r="E13" s="218">
        <f>HVM!E109</f>
        <v>90</v>
      </c>
      <c r="F13" s="215"/>
      <c r="G13" s="215" t="s">
        <v>401</v>
      </c>
      <c r="H13" s="215"/>
    </row>
    <row r="14" ht="15.75" customHeight="1">
      <c r="A14" s="211" t="s">
        <v>413</v>
      </c>
      <c r="B14" s="212" t="s">
        <v>414</v>
      </c>
      <c r="C14" s="217">
        <f>HVM!E137</f>
        <v>139</v>
      </c>
      <c r="D14" s="217">
        <f>HVM!E138</f>
        <v>139</v>
      </c>
      <c r="E14" s="218">
        <f>HVM!E139</f>
        <v>104</v>
      </c>
      <c r="F14" s="215"/>
      <c r="G14" s="215" t="s">
        <v>401</v>
      </c>
      <c r="H14" s="215"/>
    </row>
    <row r="15" ht="15.75" customHeight="1">
      <c r="A15" s="211" t="s">
        <v>415</v>
      </c>
      <c r="B15" s="212" t="s">
        <v>416</v>
      </c>
      <c r="C15" s="217">
        <f>HVM!E170</f>
        <v>190</v>
      </c>
      <c r="D15" s="217">
        <f>HVM!E171</f>
        <v>190</v>
      </c>
      <c r="E15" s="218">
        <f>HVM!E172</f>
        <v>140</v>
      </c>
      <c r="F15" s="215"/>
      <c r="G15" s="215" t="s">
        <v>401</v>
      </c>
      <c r="H15" s="215"/>
    </row>
    <row r="16" ht="15.75" customHeight="1">
      <c r="A16" s="211" t="s">
        <v>417</v>
      </c>
      <c r="B16" s="212" t="s">
        <v>418</v>
      </c>
      <c r="C16" s="217">
        <f>'ÖPH'!E45</f>
        <v>140</v>
      </c>
      <c r="D16" s="217">
        <f>'ÖPH'!E46</f>
        <v>130</v>
      </c>
      <c r="E16" s="218">
        <f>'ÖPH'!E47</f>
        <v>110</v>
      </c>
      <c r="F16" s="215"/>
      <c r="G16" s="215" t="s">
        <v>401</v>
      </c>
      <c r="H16" s="215"/>
    </row>
    <row r="17" ht="15.75" customHeight="1">
      <c r="A17" s="211"/>
      <c r="B17" s="212" t="s">
        <v>419</v>
      </c>
      <c r="C17" s="217">
        <f>'ÖPH'!E105</f>
        <v>22</v>
      </c>
      <c r="D17" s="217">
        <f>'ÖPH'!E106</f>
        <v>22</v>
      </c>
      <c r="E17" s="218">
        <f>'ÖPH'!E107</f>
        <v>22</v>
      </c>
      <c r="F17" s="215"/>
      <c r="G17" s="215"/>
      <c r="H17" s="215"/>
      <c r="J17" s="216">
        <f>sum(E7,E8,E9,E10,C11,C12,C12,C13,C14,C15,C16,C17,C18,E19,E20,E21,C22)</f>
        <v>2132.75</v>
      </c>
    </row>
    <row r="18" ht="15.75" customHeight="1">
      <c r="A18" s="211"/>
      <c r="B18" s="212" t="s">
        <v>420</v>
      </c>
      <c r="C18" s="217">
        <f>'SprÖPO'!E42</f>
        <v>300</v>
      </c>
      <c r="D18" s="217">
        <f>'SprÖPO'!E42</f>
        <v>300</v>
      </c>
      <c r="E18" s="218">
        <f>'SprÖPO'!E42</f>
        <v>300</v>
      </c>
      <c r="F18" s="215"/>
      <c r="G18" s="215"/>
      <c r="H18" s="215"/>
    </row>
    <row r="19" ht="15.75" customHeight="1">
      <c r="A19" s="211" t="s">
        <v>421</v>
      </c>
      <c r="B19" s="212" t="s">
        <v>338</v>
      </c>
      <c r="C19" s="217">
        <f>'SprÖPO'!E69</f>
        <v>99.75</v>
      </c>
      <c r="D19" s="217">
        <f>'SprÖPO'!E70</f>
        <v>99.75</v>
      </c>
      <c r="E19" s="218">
        <f>'SprÖPO'!E71</f>
        <v>64.75</v>
      </c>
      <c r="F19" s="215">
        <v>100.0</v>
      </c>
      <c r="G19" s="215" t="s">
        <v>401</v>
      </c>
      <c r="H19" s="215"/>
    </row>
    <row r="20" ht="15.75" customHeight="1">
      <c r="A20" s="211"/>
      <c r="B20" s="212" t="s">
        <v>422</v>
      </c>
      <c r="C20" s="217">
        <f>'SprÖPO'!E139</f>
        <v>25</v>
      </c>
      <c r="D20" s="217">
        <f>'SprÖPO'!E140</f>
        <v>25</v>
      </c>
      <c r="E20" s="218">
        <f>'SprÖPO'!E141</f>
        <v>25</v>
      </c>
      <c r="F20" s="215"/>
      <c r="G20" s="215"/>
      <c r="H20" s="215"/>
    </row>
    <row r="21" ht="15.75" customHeight="1">
      <c r="A21" s="211"/>
      <c r="B21" s="212" t="s">
        <v>423</v>
      </c>
      <c r="C21" s="217">
        <f>'SprÖPO'!E165</f>
        <v>25</v>
      </c>
      <c r="D21" s="217">
        <f>'SprÖPO'!E166</f>
        <v>25</v>
      </c>
      <c r="E21" s="218">
        <f>'SprÖPO'!E167</f>
        <v>25</v>
      </c>
      <c r="F21" s="215"/>
      <c r="G21" s="215"/>
      <c r="H21" s="215"/>
    </row>
    <row r="22" ht="15.75" customHeight="1">
      <c r="A22" s="211" t="s">
        <v>424</v>
      </c>
      <c r="B22" s="212" t="s">
        <v>425</v>
      </c>
      <c r="C22" s="217">
        <f>'ÖPH'!E130</f>
        <v>140</v>
      </c>
      <c r="D22" s="217">
        <f>'ÖPH'!E131</f>
        <v>130</v>
      </c>
      <c r="E22" s="218">
        <f>'ÖPH'!E132</f>
        <v>110</v>
      </c>
      <c r="F22" s="215"/>
      <c r="G22" s="215" t="s">
        <v>401</v>
      </c>
      <c r="H22" s="215"/>
    </row>
    <row r="23" ht="15.75" customHeight="1">
      <c r="A23" s="26" t="s">
        <v>426</v>
      </c>
      <c r="B23" s="212" t="s">
        <v>427</v>
      </c>
      <c r="C23" s="219">
        <f>'Allmänt'!E29</f>
        <v>220</v>
      </c>
      <c r="D23" s="219">
        <f>'Allmänt'!E30</f>
        <v>220</v>
      </c>
      <c r="E23" s="220">
        <f>'Allmänt'!E31</f>
        <v>220</v>
      </c>
      <c r="F23" s="215"/>
      <c r="G23" s="215"/>
      <c r="H23" s="215"/>
    </row>
    <row r="24" ht="15.75" customHeight="1">
      <c r="B24" s="208" t="s">
        <v>428</v>
      </c>
      <c r="C24" s="221">
        <f t="shared" ref="C24:E24" si="1">SUM(C7:C23)</f>
        <v>2408.75</v>
      </c>
      <c r="D24" s="221">
        <f t="shared" si="1"/>
        <v>2403.75</v>
      </c>
      <c r="E24" s="221">
        <f t="shared" si="1"/>
        <v>2012.75</v>
      </c>
      <c r="F24" s="208"/>
      <c r="G24" s="208"/>
      <c r="H24" s="208"/>
    </row>
    <row r="25" ht="15.75" customHeight="1">
      <c r="B25" s="208" t="s">
        <v>429</v>
      </c>
      <c r="C25" s="217">
        <v>1995.0</v>
      </c>
      <c r="D25" s="217">
        <v>1995.0</v>
      </c>
      <c r="E25" s="217">
        <v>1595.0</v>
      </c>
      <c r="F25" s="215"/>
      <c r="G25" s="215"/>
      <c r="H25" s="215"/>
    </row>
    <row r="26" ht="15.75" customHeight="1">
      <c r="B26" s="208"/>
      <c r="C26" s="215"/>
      <c r="D26" s="215"/>
      <c r="E26" s="217">
        <f>E25-E24</f>
        <v>-417.75</v>
      </c>
      <c r="F26" s="215"/>
      <c r="G26" s="215"/>
      <c r="H26" s="215"/>
    </row>
    <row r="27" ht="15.75" customHeight="1">
      <c r="B27" s="26" t="s">
        <v>430</v>
      </c>
      <c r="C27" s="216">
        <f>SUM(C11:C22)+SUM(E7:E10)</f>
        <v>2042.75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  <tableParts count="2"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 ht="15.75" customHeight="1"/>
    <row r="2" ht="15.75" customHeight="1"/>
    <row r="3" ht="15.75" customHeight="1"/>
    <row r="4" ht="15.75" customHeight="1"/>
    <row r="5" ht="15.75" customHeight="1">
      <c r="B5" s="26" t="s">
        <v>97</v>
      </c>
      <c r="D5" s="26" t="s">
        <v>38</v>
      </c>
      <c r="E5" s="26" t="s">
        <v>431</v>
      </c>
      <c r="F5" s="26" t="s">
        <v>7</v>
      </c>
    </row>
    <row r="6" ht="15.75" customHeight="1">
      <c r="B6" s="26" t="s">
        <v>33</v>
      </c>
    </row>
    <row r="7" ht="15.75" customHeight="1">
      <c r="B7" s="26" t="s">
        <v>34</v>
      </c>
      <c r="D7" s="26">
        <v>1.0</v>
      </c>
      <c r="E7" s="43">
        <v>20000.0</v>
      </c>
      <c r="F7" s="216">
        <f t="shared" ref="F7:F9" si="1">E7*D7</f>
        <v>20000</v>
      </c>
    </row>
    <row r="8" ht="15.75" customHeight="1">
      <c r="B8" s="26" t="s">
        <v>432</v>
      </c>
      <c r="D8" s="26">
        <v>1.0</v>
      </c>
      <c r="E8" s="43">
        <v>15000.0</v>
      </c>
      <c r="F8" s="216">
        <f t="shared" si="1"/>
        <v>15000</v>
      </c>
    </row>
    <row r="9" ht="15.75" customHeight="1">
      <c r="B9" s="26" t="s">
        <v>433</v>
      </c>
      <c r="D9" s="26">
        <v>1.0</v>
      </c>
      <c r="E9" s="15">
        <v>20000.0</v>
      </c>
      <c r="F9" s="216">
        <f t="shared" si="1"/>
        <v>20000</v>
      </c>
    </row>
    <row r="10" ht="15.75" customHeight="1">
      <c r="E10" s="47"/>
      <c r="F10" s="47">
        <f>SUM(F7:F9)</f>
        <v>55000</v>
      </c>
    </row>
    <row r="11" ht="15.75" customHeight="1"/>
    <row r="12" ht="15.75" customHeight="1">
      <c r="B12" s="26" t="s">
        <v>37</v>
      </c>
    </row>
    <row r="13" ht="15.75" customHeight="1">
      <c r="B13" s="26" t="s">
        <v>434</v>
      </c>
      <c r="D13" s="49">
        <v>0.0</v>
      </c>
      <c r="E13" s="15">
        <f>179489+469-6.17</f>
        <v>179951.83</v>
      </c>
      <c r="F13" s="15">
        <f t="shared" ref="F13:F14" si="2">PRODUCT(D13,E13)</f>
        <v>0</v>
      </c>
    </row>
    <row r="14" ht="15.75" customHeight="1">
      <c r="B14" s="26" t="s">
        <v>435</v>
      </c>
      <c r="D14" s="51">
        <v>276.0</v>
      </c>
      <c r="E14" s="43" t="str">
        <f>E31+#REF!</f>
        <v>#REF!</v>
      </c>
      <c r="F14" s="43" t="str">
        <f t="shared" si="2"/>
        <v>#REF!</v>
      </c>
    </row>
    <row r="15" ht="15.75" customHeight="1">
      <c r="B15" s="46"/>
      <c r="C15" s="46"/>
      <c r="D15" s="46"/>
      <c r="E15" s="53"/>
      <c r="F15" s="47" t="str">
        <f>SUM(F13:F14)</f>
        <v>#REF!</v>
      </c>
    </row>
    <row r="16" ht="15.75" customHeight="1"/>
    <row r="17" ht="15.75" customHeight="1">
      <c r="B17" s="26" t="s">
        <v>436</v>
      </c>
    </row>
    <row r="18" ht="15.75" customHeight="1">
      <c r="B18" s="157" t="s">
        <v>45</v>
      </c>
      <c r="D18" s="26">
        <v>104.0</v>
      </c>
      <c r="E18" s="43">
        <v>1995.0</v>
      </c>
      <c r="F18" s="15">
        <f t="shared" ref="F18:F20" si="3">D18*E18</f>
        <v>207480</v>
      </c>
    </row>
    <row r="19" ht="15.75" customHeight="1">
      <c r="B19" s="42" t="s">
        <v>46</v>
      </c>
      <c r="D19" s="26">
        <v>10.0</v>
      </c>
      <c r="E19" s="43">
        <v>1995.0</v>
      </c>
      <c r="F19" s="43">
        <f t="shared" si="3"/>
        <v>19950</v>
      </c>
    </row>
    <row r="20" ht="15.75" customHeight="1">
      <c r="B20" s="157" t="s">
        <v>47</v>
      </c>
      <c r="D20" s="26">
        <v>5.0</v>
      </c>
      <c r="E20" s="15">
        <v>1595.0</v>
      </c>
      <c r="F20" s="15">
        <f t="shared" si="3"/>
        <v>7975</v>
      </c>
    </row>
    <row r="21" ht="15.75" customHeight="1">
      <c r="B21" s="53"/>
      <c r="C21" s="53"/>
      <c r="D21" s="53"/>
      <c r="E21" s="53"/>
      <c r="F21" s="47">
        <f>SUM(F18:F20)</f>
        <v>235405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>
      <c r="B34" s="26" t="s">
        <v>78</v>
      </c>
    </row>
    <row r="35" ht="15.75" customHeight="1">
      <c r="B35" s="26" t="s">
        <v>437</v>
      </c>
      <c r="D35" s="26">
        <v>1.0</v>
      </c>
      <c r="E35" s="216">
        <v>88406.1</v>
      </c>
      <c r="F35" s="216">
        <f t="shared" ref="F35:F38" si="4">D35*E35</f>
        <v>88406.1</v>
      </c>
    </row>
    <row r="36" ht="15.75" customHeight="1">
      <c r="B36" s="26" t="s">
        <v>438</v>
      </c>
      <c r="D36" s="26">
        <v>2.0</v>
      </c>
      <c r="E36" s="216">
        <v>9450.0</v>
      </c>
      <c r="F36" s="216">
        <f t="shared" si="4"/>
        <v>18900</v>
      </c>
    </row>
    <row r="37" ht="15.75" customHeight="1">
      <c r="B37" s="26" t="s">
        <v>12</v>
      </c>
      <c r="D37" s="26">
        <v>1.0</v>
      </c>
      <c r="E37" s="26">
        <v>1000.0</v>
      </c>
      <c r="F37" s="216">
        <f t="shared" si="4"/>
        <v>1000</v>
      </c>
    </row>
    <row r="38" ht="15.75" customHeight="1">
      <c r="B38" s="26" t="s">
        <v>17</v>
      </c>
      <c r="D38" s="26">
        <v>1.0</v>
      </c>
      <c r="E38" s="26">
        <v>2875.0</v>
      </c>
      <c r="F38" s="216">
        <f t="shared" si="4"/>
        <v>2875</v>
      </c>
    </row>
    <row r="39" ht="15.75" customHeight="1"/>
    <row r="40" ht="15.75" customHeight="1"/>
    <row r="41" ht="15.75" customHeight="1"/>
    <row r="42" ht="15.75" customHeight="1"/>
    <row r="43" ht="15.75" customHeight="1">
      <c r="B43" s="26" t="s">
        <v>97</v>
      </c>
    </row>
    <row r="44" ht="15.75" customHeight="1"/>
    <row r="45" ht="15.75" customHeight="1">
      <c r="B45" s="26" t="s">
        <v>10</v>
      </c>
      <c r="D45" s="26">
        <v>289583.7</v>
      </c>
    </row>
    <row r="46" ht="15.75" customHeight="1">
      <c r="B46" s="26" t="s">
        <v>439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5.5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>
      <c r="B7" s="26" t="s">
        <v>97</v>
      </c>
    </row>
    <row r="8" ht="15.75" customHeight="1"/>
    <row r="9" ht="15.75" customHeight="1">
      <c r="B9" s="26" t="s">
        <v>440</v>
      </c>
      <c r="D9" s="216">
        <f>2000</f>
        <v>2000</v>
      </c>
    </row>
    <row r="10" ht="15.75" customHeight="1">
      <c r="B10" s="26" t="s">
        <v>267</v>
      </c>
      <c r="D10" s="216">
        <f>'PhÄLGH'!F50+'PhÄLGH'!F58</f>
        <v>30800</v>
      </c>
    </row>
    <row r="11" ht="15.75" customHeight="1">
      <c r="B11" s="26" t="s">
        <v>441</v>
      </c>
      <c r="D11" s="216">
        <f>'nUppÖk'!F65</f>
        <v>15400</v>
      </c>
    </row>
    <row r="12" ht="15.75" customHeight="1">
      <c r="B12" s="26" t="s">
        <v>96</v>
      </c>
      <c r="D12" s="216">
        <f>Ledarna!F66</f>
        <v>5770</v>
      </c>
    </row>
    <row r="13" ht="15.75" customHeight="1">
      <c r="B13" s="26" t="s">
        <v>268</v>
      </c>
      <c r="D13" s="216">
        <f>'PhÄLGH'!F108+'PhÄLGH'!F119</f>
        <v>69200</v>
      </c>
    </row>
    <row r="14" ht="15.75" customHeight="1">
      <c r="B14" s="26" t="s">
        <v>338</v>
      </c>
      <c r="D14" s="216">
        <f>'SprÖPO'!F82+'SprÖPO'!F88</f>
        <v>53500</v>
      </c>
    </row>
    <row r="15" ht="15.75" customHeight="1">
      <c r="B15" s="26" t="s">
        <v>19</v>
      </c>
      <c r="D15" s="216">
        <f>n0g!F43+n0g!F52+n0g!F106</f>
        <v>144025</v>
      </c>
    </row>
    <row r="16" ht="15.75" customHeight="1">
      <c r="B16" s="26" t="s">
        <v>442</v>
      </c>
      <c r="D16" s="222">
        <f>Ledarna!D41</f>
        <v>5000</v>
      </c>
    </row>
    <row r="17" ht="15.75" customHeight="1">
      <c r="B17" s="26" t="s">
        <v>7</v>
      </c>
      <c r="D17" s="216">
        <f>SUM(D9:D16)</f>
        <v>325695</v>
      </c>
    </row>
    <row r="18" ht="15.75" customHeight="1"/>
    <row r="19" ht="15.75" customHeight="1"/>
    <row r="20" ht="15.75" customHeight="1">
      <c r="B20" s="26" t="s">
        <v>48</v>
      </c>
    </row>
    <row r="21" ht="15.75" customHeight="1"/>
    <row r="22" ht="15.75" customHeight="1">
      <c r="B22" s="26" t="s">
        <v>440</v>
      </c>
      <c r="D22" s="216">
        <f>HVM!F28</f>
        <v>2000</v>
      </c>
    </row>
    <row r="23" ht="15.75" customHeight="1">
      <c r="B23" s="26" t="s">
        <v>267</v>
      </c>
      <c r="D23" s="26" t="str">
        <f>'PhÄLGH'!F61+'PhÄLGH'!F69</f>
        <v>#VALUE!</v>
      </c>
    </row>
    <row r="24" ht="15.75" customHeight="1">
      <c r="B24" s="26" t="s">
        <v>441</v>
      </c>
      <c r="D24" s="216">
        <f>'nUppÖk'!F76</f>
        <v>9600</v>
      </c>
      <c r="I24" s="223"/>
    </row>
    <row r="25" ht="15.75" customHeight="1">
      <c r="B25" s="26" t="s">
        <v>96</v>
      </c>
      <c r="D25" s="216">
        <f>Ledarna!F77</f>
        <v>5750</v>
      </c>
    </row>
    <row r="26" ht="15.75" customHeight="1">
      <c r="B26" s="26" t="s">
        <v>268</v>
      </c>
      <c r="D26" s="216">
        <f>'PhÄLGH'!F119+'PhÄLGH'!F130</f>
        <v>36200</v>
      </c>
    </row>
    <row r="27" ht="15.75" customHeight="1">
      <c r="B27" s="26" t="s">
        <v>338</v>
      </c>
      <c r="D27" s="216">
        <f>'SprÖPO'!F93+'SprÖPO'!F99</f>
        <v>0</v>
      </c>
    </row>
    <row r="28" ht="15.75" customHeight="1">
      <c r="B28" s="26" t="s">
        <v>19</v>
      </c>
      <c r="D28" s="216">
        <f>n0g!F54+n0g!F63+n0g!F117</f>
        <v>2600</v>
      </c>
    </row>
    <row r="29" ht="15.75" customHeight="1">
      <c r="B29" s="26" t="s">
        <v>442</v>
      </c>
      <c r="D29" s="224" t="str">
        <f>Ledarna!D52</f>
        <v/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>
      <c r="B7" s="26" t="s">
        <v>97</v>
      </c>
    </row>
    <row r="8" ht="15.75" customHeight="1"/>
    <row r="9" ht="15.75" customHeight="1">
      <c r="B9" s="26" t="s">
        <v>337</v>
      </c>
      <c r="D9" s="225"/>
    </row>
    <row r="10" ht="15.75" customHeight="1">
      <c r="B10" s="26" t="s">
        <v>443</v>
      </c>
      <c r="D10" s="226">
        <f>HVM!F50</f>
        <v>13256</v>
      </c>
    </row>
    <row r="11" ht="15.75" customHeight="1">
      <c r="B11" s="26" t="s">
        <v>267</v>
      </c>
      <c r="D11" s="216">
        <f>'PhÄLGH'!F42</f>
        <v>10250</v>
      </c>
    </row>
    <row r="12" ht="15.75" customHeight="1">
      <c r="B12" s="26" t="s">
        <v>441</v>
      </c>
      <c r="D12" s="216">
        <f>'nUppÖk'!F57</f>
        <v>7575</v>
      </c>
    </row>
    <row r="13" ht="15.75" customHeight="1">
      <c r="B13" s="26" t="s">
        <v>410</v>
      </c>
      <c r="D13" s="216">
        <f>HVM!F82</f>
        <v>15105</v>
      </c>
    </row>
    <row r="14" ht="15.75" customHeight="1">
      <c r="B14" s="26" t="s">
        <v>96</v>
      </c>
      <c r="D14" s="26">
        <v>0.0</v>
      </c>
    </row>
    <row r="15" ht="15.75" customHeight="1">
      <c r="B15" s="26" t="s">
        <v>412</v>
      </c>
      <c r="D15" s="226">
        <f>HVM!F112</f>
        <v>15245</v>
      </c>
    </row>
    <row r="16" ht="15.75" customHeight="1">
      <c r="B16" s="26" t="s">
        <v>268</v>
      </c>
      <c r="D16" s="216">
        <f>'PhÄLGH'!F100</f>
        <v>25344</v>
      </c>
    </row>
    <row r="17" ht="15.75" customHeight="1">
      <c r="B17" s="26" t="s">
        <v>414</v>
      </c>
      <c r="D17" s="226">
        <f>HVM!F143</f>
        <v>22245</v>
      </c>
    </row>
    <row r="18" ht="15.75" customHeight="1">
      <c r="B18" s="26" t="s">
        <v>338</v>
      </c>
      <c r="D18" s="216">
        <f>'SprÖPO'!F74</f>
        <v>12055</v>
      </c>
    </row>
    <row r="19" ht="15.75" customHeight="1">
      <c r="B19" s="26" t="s">
        <v>416</v>
      </c>
      <c r="D19" s="226">
        <f>HVM!F175</f>
        <v>23030</v>
      </c>
    </row>
    <row r="20" ht="15.75" customHeight="1">
      <c r="B20" s="26" t="s">
        <v>19</v>
      </c>
      <c r="D20" s="216">
        <f>n0g!F35</f>
        <v>52025</v>
      </c>
    </row>
    <row r="21" ht="15.75" customHeight="1"/>
    <row r="22" ht="15.75" customHeight="1"/>
    <row r="23" ht="15.75" customHeight="1">
      <c r="B23" s="26" t="s">
        <v>210</v>
      </c>
    </row>
    <row r="24" ht="15.75" customHeight="1"/>
    <row r="25" ht="15.75" customHeight="1">
      <c r="B25" s="26" t="s">
        <v>337</v>
      </c>
    </row>
    <row r="26" ht="15.75" customHeight="1">
      <c r="B26" s="26" t="s">
        <v>443</v>
      </c>
      <c r="D26" s="216">
        <f>HVM!F61</f>
        <v>13162</v>
      </c>
    </row>
    <row r="27" ht="15.75" customHeight="1">
      <c r="B27" s="26" t="s">
        <v>267</v>
      </c>
      <c r="D27" s="225" t="str">
        <f>PhÄLGH!F</f>
        <v>#NAME?</v>
      </c>
    </row>
    <row r="28" ht="15.75" customHeight="1">
      <c r="B28" s="26" t="s">
        <v>441</v>
      </c>
      <c r="D28" s="26" t="str">
        <f>'PhÄLGH'!F59</f>
        <v/>
      </c>
    </row>
    <row r="29" ht="15.75" customHeight="1">
      <c r="B29" s="26" t="s">
        <v>410</v>
      </c>
      <c r="D29" s="216">
        <f>HVM!F91</f>
        <v>15075</v>
      </c>
    </row>
    <row r="30" ht="15.75" customHeight="1">
      <c r="B30" s="26" t="s">
        <v>96</v>
      </c>
      <c r="D30" s="26">
        <v>0.0</v>
      </c>
    </row>
    <row r="31" ht="15.75" customHeight="1">
      <c r="B31" s="26" t="s">
        <v>412</v>
      </c>
      <c r="D31" s="216">
        <f>HVM!F121</f>
        <v>15200</v>
      </c>
    </row>
    <row r="32" ht="15.75" customHeight="1">
      <c r="B32" s="26" t="s">
        <v>268</v>
      </c>
      <c r="D32" s="216">
        <f>'PhÄLGH'!F116</f>
        <v>200</v>
      </c>
    </row>
    <row r="33" ht="15.75" customHeight="1">
      <c r="B33" s="26" t="s">
        <v>414</v>
      </c>
      <c r="D33" s="216">
        <f>HVM!F154</f>
        <v>22260</v>
      </c>
    </row>
    <row r="34" ht="15.75" customHeight="1">
      <c r="B34" s="26" t="s">
        <v>338</v>
      </c>
      <c r="D34" s="26" t="str">
        <f>'SprÖPO'!F90</f>
        <v/>
      </c>
    </row>
    <row r="35" ht="15.75" customHeight="1">
      <c r="B35" s="26" t="s">
        <v>416</v>
      </c>
      <c r="D35" s="216">
        <f>HVM!F184</f>
        <v>22930</v>
      </c>
    </row>
    <row r="36" ht="15.75" customHeight="1">
      <c r="B36" s="26" t="s">
        <v>19</v>
      </c>
      <c r="D36" s="216">
        <f>n0g!F51</f>
        <v>150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sheetData>
    <row r="1" ht="15.75" customHeight="1">
      <c r="A1" s="2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>
      <c r="A4" s="1"/>
      <c r="B4" s="27" t="s">
        <v>28</v>
      </c>
      <c r="C4" s="3"/>
      <c r="D4" s="3"/>
      <c r="E4" s="3"/>
      <c r="F4" s="3"/>
      <c r="G4" s="3"/>
      <c r="H4" s="3"/>
      <c r="I4" s="3"/>
      <c r="J4" s="3"/>
      <c r="K4" s="4"/>
      <c r="L4" s="1"/>
      <c r="M4" s="1"/>
    </row>
    <row r="5" ht="15.75" customHeight="1">
      <c r="A5" s="1"/>
      <c r="B5" s="5"/>
      <c r="C5" s="1"/>
      <c r="D5" s="1"/>
      <c r="E5" s="1"/>
      <c r="F5" s="1"/>
      <c r="G5" s="1"/>
      <c r="H5" s="1"/>
      <c r="I5" s="1"/>
      <c r="J5" s="1"/>
      <c r="K5" s="6"/>
      <c r="L5" s="1"/>
      <c r="M5" s="1"/>
    </row>
    <row r="6" ht="15.75" customHeight="1">
      <c r="A6" s="1"/>
      <c r="B6" s="7" t="s">
        <v>1</v>
      </c>
      <c r="C6" s="1"/>
      <c r="D6" s="8" t="s">
        <v>29</v>
      </c>
      <c r="E6" s="8" t="s">
        <v>3</v>
      </c>
      <c r="F6" s="8" t="s">
        <v>4</v>
      </c>
      <c r="G6" s="1"/>
      <c r="H6" s="1"/>
      <c r="I6" s="1"/>
      <c r="J6" s="1"/>
      <c r="K6" s="6"/>
      <c r="L6" s="1"/>
      <c r="M6" s="1"/>
    </row>
    <row r="7" ht="15.75" customHeight="1">
      <c r="A7" s="1"/>
      <c r="B7" s="28" t="s">
        <v>6</v>
      </c>
      <c r="C7" s="29"/>
      <c r="D7" s="30" t="s">
        <v>7</v>
      </c>
      <c r="E7" s="30" t="s">
        <v>7</v>
      </c>
      <c r="F7" s="30" t="s">
        <v>7</v>
      </c>
      <c r="G7" s="30" t="s">
        <v>8</v>
      </c>
      <c r="H7" s="1"/>
      <c r="I7" s="1"/>
      <c r="J7" s="1"/>
      <c r="K7" s="6"/>
      <c r="L7" s="1"/>
      <c r="M7" s="1"/>
    </row>
    <row r="8" ht="15.75" customHeight="1">
      <c r="A8" s="1"/>
      <c r="B8" s="14" t="s">
        <v>30</v>
      </c>
      <c r="C8" s="16"/>
      <c r="D8" s="15">
        <f>SUM(F25,F32,D19)</f>
        <v>81400</v>
      </c>
      <c r="E8" s="16"/>
      <c r="F8" s="16"/>
      <c r="G8" s="16"/>
      <c r="H8" s="1"/>
      <c r="I8" s="1"/>
      <c r="J8" s="1"/>
      <c r="K8" s="6"/>
      <c r="L8" s="1"/>
      <c r="M8" s="1"/>
    </row>
    <row r="9" ht="15.75" customHeight="1">
      <c r="A9" s="1"/>
      <c r="B9" s="18" t="s">
        <v>31</v>
      </c>
      <c r="C9" s="20"/>
      <c r="D9" s="19">
        <f>SUM(-F50,-D58)</f>
        <v>-121769.6</v>
      </c>
      <c r="E9" s="20"/>
      <c r="F9" s="20"/>
      <c r="G9" s="20"/>
      <c r="H9" s="1"/>
      <c r="I9" s="1"/>
      <c r="J9" s="1"/>
      <c r="K9" s="6"/>
      <c r="L9" s="1"/>
      <c r="M9" s="1"/>
    </row>
    <row r="10" ht="15.75" customHeight="1">
      <c r="A10" s="1"/>
      <c r="B10" s="31" t="s">
        <v>27</v>
      </c>
      <c r="C10" s="32"/>
      <c r="D10" s="33">
        <f>SUM(D8:D9)</f>
        <v>-40369.6</v>
      </c>
      <c r="E10" s="32"/>
      <c r="F10" s="32"/>
      <c r="G10" s="32"/>
      <c r="H10" s="1"/>
      <c r="I10" s="1"/>
      <c r="J10" s="1"/>
      <c r="K10" s="6"/>
      <c r="L10" s="1"/>
      <c r="M10" s="1"/>
    </row>
    <row r="11" ht="15.75" customHeight="1">
      <c r="A11" s="1"/>
      <c r="B11" s="5"/>
      <c r="C11" s="1"/>
      <c r="D11" s="34"/>
      <c r="E11" s="1"/>
      <c r="F11" s="1"/>
      <c r="G11" s="1"/>
      <c r="H11" s="1"/>
      <c r="I11" s="1"/>
      <c r="J11" s="1"/>
      <c r="K11" s="6"/>
      <c r="L11" s="1"/>
      <c r="M11" s="1"/>
    </row>
    <row r="12" ht="15.75" customHeight="1">
      <c r="A12" s="1"/>
      <c r="B12" s="35" t="s">
        <v>32</v>
      </c>
      <c r="C12" s="1"/>
      <c r="D12" s="1"/>
      <c r="E12" s="1"/>
      <c r="F12" s="1"/>
      <c r="G12" s="1"/>
      <c r="H12" s="1"/>
      <c r="I12" s="1"/>
      <c r="J12" s="1"/>
      <c r="K12" s="6"/>
      <c r="L12" s="1"/>
      <c r="M12" s="1"/>
    </row>
    <row r="13" ht="15.75" customHeight="1">
      <c r="A13" s="1"/>
      <c r="B13" s="5"/>
      <c r="C13" s="1"/>
      <c r="D13" s="1"/>
      <c r="E13" s="1"/>
      <c r="F13" s="1"/>
      <c r="G13" s="1"/>
      <c r="H13" s="1"/>
      <c r="I13" s="1"/>
      <c r="J13" s="1"/>
      <c r="K13" s="6"/>
      <c r="L13" s="1"/>
      <c r="M13" s="1"/>
    </row>
    <row r="14" ht="15.75" customHeight="1">
      <c r="A14" s="1"/>
      <c r="B14" s="7" t="s">
        <v>33</v>
      </c>
      <c r="C14" s="1"/>
      <c r="D14" s="8" t="s">
        <v>29</v>
      </c>
      <c r="E14" s="8" t="s">
        <v>3</v>
      </c>
      <c r="F14" s="8" t="s">
        <v>4</v>
      </c>
      <c r="G14" s="1"/>
      <c r="H14" s="1"/>
      <c r="I14" s="1"/>
      <c r="J14" s="1"/>
      <c r="K14" s="6"/>
      <c r="L14" s="1"/>
      <c r="M14" s="1"/>
    </row>
    <row r="15" ht="15.75" customHeight="1">
      <c r="A15" s="1"/>
      <c r="B15" s="36" t="s">
        <v>34</v>
      </c>
      <c r="C15" s="37"/>
      <c r="D15" s="38" t="s">
        <v>7</v>
      </c>
      <c r="E15" s="38" t="s">
        <v>7</v>
      </c>
      <c r="F15" s="38" t="s">
        <v>7</v>
      </c>
      <c r="G15" s="38" t="s">
        <v>8</v>
      </c>
      <c r="H15" s="1"/>
      <c r="I15" s="1"/>
      <c r="J15" s="1"/>
      <c r="K15" s="6"/>
      <c r="L15" s="1"/>
      <c r="M15" s="1"/>
    </row>
    <row r="16" ht="15.75" customHeight="1">
      <c r="A16" s="1"/>
      <c r="B16" s="39" t="s">
        <v>34</v>
      </c>
      <c r="C16" s="40"/>
      <c r="D16" s="41">
        <v>20000.0</v>
      </c>
      <c r="E16" s="40"/>
      <c r="F16" s="40"/>
      <c r="G16" s="40"/>
      <c r="H16" s="1"/>
      <c r="I16" s="1"/>
      <c r="J16" s="1"/>
      <c r="K16" s="6"/>
      <c r="L16" s="1"/>
      <c r="M16" s="1"/>
    </row>
    <row r="17" ht="15.75" customHeight="1">
      <c r="A17" s="1"/>
      <c r="B17" s="39" t="s">
        <v>35</v>
      </c>
      <c r="C17" s="42"/>
      <c r="D17" s="43">
        <v>15000.0</v>
      </c>
      <c r="E17" s="40"/>
      <c r="F17" s="40"/>
      <c r="G17" s="40"/>
      <c r="H17" s="1"/>
      <c r="I17" s="1"/>
      <c r="J17" s="1"/>
      <c r="K17" s="6"/>
      <c r="L17" s="1"/>
      <c r="M17" s="1"/>
    </row>
    <row r="18" ht="15.75" customHeight="1">
      <c r="A18" s="1"/>
      <c r="B18" s="44" t="s">
        <v>36</v>
      </c>
      <c r="C18" s="16"/>
      <c r="D18" s="15">
        <v>20000.0</v>
      </c>
      <c r="E18" s="16"/>
      <c r="F18" s="16"/>
      <c r="G18" s="16"/>
      <c r="H18" s="1"/>
      <c r="I18" s="1"/>
      <c r="J18" s="1"/>
      <c r="K18" s="6"/>
      <c r="L18" s="1"/>
      <c r="M18" s="1"/>
    </row>
    <row r="19" ht="15.75" customHeight="1">
      <c r="A19" s="1"/>
      <c r="B19" s="45" t="s">
        <v>27</v>
      </c>
      <c r="C19" s="46"/>
      <c r="D19" s="47">
        <f>SUM(D16:D18)</f>
        <v>55000</v>
      </c>
      <c r="E19" s="46"/>
      <c r="F19" s="46"/>
      <c r="G19" s="46"/>
      <c r="H19" s="1"/>
      <c r="I19" s="1"/>
      <c r="J19" s="1"/>
      <c r="K19" s="6"/>
      <c r="L19" s="1"/>
      <c r="M19" s="1"/>
    </row>
    <row r="20" ht="15.75" customHeight="1">
      <c r="A20" s="1"/>
      <c r="B20" s="5"/>
      <c r="C20" s="1"/>
      <c r="D20" s="34"/>
      <c r="E20" s="1"/>
      <c r="F20" s="1"/>
      <c r="G20" s="1"/>
      <c r="H20" s="1"/>
      <c r="I20" s="1"/>
      <c r="J20" s="1"/>
      <c r="K20" s="6"/>
      <c r="L20" s="1"/>
      <c r="M20" s="1"/>
    </row>
    <row r="21" ht="15.75" customHeight="1">
      <c r="A21" s="1"/>
      <c r="B21" s="7" t="s">
        <v>37</v>
      </c>
      <c r="C21" s="1"/>
      <c r="D21" s="8" t="s">
        <v>29</v>
      </c>
      <c r="E21" s="1"/>
      <c r="F21" s="1"/>
      <c r="G21" s="8" t="s">
        <v>3</v>
      </c>
      <c r="H21" s="1"/>
      <c r="I21" s="1"/>
      <c r="J21" s="8" t="s">
        <v>4</v>
      </c>
      <c r="K21" s="6"/>
      <c r="L21" s="1"/>
      <c r="M21" s="1"/>
    </row>
    <row r="22" ht="15.75" customHeight="1">
      <c r="A22" s="1"/>
      <c r="B22" s="36" t="s">
        <v>6</v>
      </c>
      <c r="C22" s="37"/>
      <c r="D22" s="38" t="s">
        <v>38</v>
      </c>
      <c r="E22" s="38" t="s">
        <v>39</v>
      </c>
      <c r="F22" s="38" t="s">
        <v>7</v>
      </c>
      <c r="G22" s="38" t="s">
        <v>38</v>
      </c>
      <c r="H22" s="38" t="s">
        <v>39</v>
      </c>
      <c r="I22" s="38" t="s">
        <v>7</v>
      </c>
      <c r="J22" s="38" t="s">
        <v>7</v>
      </c>
      <c r="K22" s="48" t="s">
        <v>8</v>
      </c>
      <c r="L22" s="1"/>
      <c r="M22" s="1"/>
    </row>
    <row r="23" ht="15.75" customHeight="1">
      <c r="A23" s="1"/>
      <c r="B23" s="14" t="s">
        <v>40</v>
      </c>
      <c r="C23" s="16"/>
      <c r="D23" s="49">
        <v>0.0</v>
      </c>
      <c r="E23" s="50">
        <v>0.0</v>
      </c>
      <c r="F23" s="15">
        <f t="shared" ref="F23:F24" si="1">PRODUCT(D23,E23)</f>
        <v>0</v>
      </c>
      <c r="G23" s="16"/>
      <c r="H23" s="16"/>
      <c r="I23" s="16"/>
      <c r="J23" s="16"/>
      <c r="K23" s="17" t="s">
        <v>41</v>
      </c>
      <c r="L23" s="1"/>
      <c r="M23" s="1"/>
    </row>
    <row r="24" ht="15.75" customHeight="1">
      <c r="A24" s="1"/>
      <c r="B24" s="39" t="s">
        <v>42</v>
      </c>
      <c r="C24" s="40"/>
      <c r="D24" s="51">
        <v>0.0</v>
      </c>
      <c r="E24" s="43">
        <v>0.0</v>
      </c>
      <c r="F24" s="43">
        <f t="shared" si="1"/>
        <v>0</v>
      </c>
      <c r="G24" s="40"/>
      <c r="H24" s="40"/>
      <c r="I24" s="40"/>
      <c r="J24" s="40"/>
      <c r="K24" s="52" t="s">
        <v>43</v>
      </c>
      <c r="L24" s="1"/>
      <c r="M24" s="1"/>
    </row>
    <row r="25" ht="15.75" customHeight="1">
      <c r="A25" s="1"/>
      <c r="B25" s="45" t="s">
        <v>27</v>
      </c>
      <c r="C25" s="46"/>
      <c r="D25" s="46"/>
      <c r="E25" s="53"/>
      <c r="F25" s="47">
        <f>SUM(F23:F24)</f>
        <v>0</v>
      </c>
      <c r="G25" s="46"/>
      <c r="H25" s="46"/>
      <c r="I25" s="46"/>
      <c r="J25" s="46"/>
      <c r="K25" s="54"/>
      <c r="L25" s="1"/>
      <c r="M25" s="1"/>
    </row>
    <row r="26" ht="15.75" customHeight="1">
      <c r="A26" s="1"/>
      <c r="B26" s="5"/>
      <c r="C26" s="1"/>
      <c r="D26" s="1"/>
      <c r="E26" s="1"/>
      <c r="F26" s="34"/>
      <c r="G26" s="1"/>
      <c r="H26" s="1"/>
      <c r="I26" s="1"/>
      <c r="J26" s="1"/>
      <c r="K26" s="6"/>
      <c r="L26" s="1"/>
      <c r="M26" s="1"/>
    </row>
    <row r="27" ht="15.75" customHeight="1">
      <c r="A27" s="1"/>
      <c r="B27" s="7" t="s">
        <v>44</v>
      </c>
      <c r="C27" s="1"/>
      <c r="D27" s="8" t="s">
        <v>29</v>
      </c>
      <c r="E27" s="1"/>
      <c r="F27" s="1"/>
      <c r="G27" s="8" t="s">
        <v>3</v>
      </c>
      <c r="H27" s="1"/>
      <c r="I27" s="1"/>
      <c r="J27" s="8" t="s">
        <v>4</v>
      </c>
      <c r="K27" s="6"/>
      <c r="L27" s="1"/>
      <c r="M27" s="1"/>
    </row>
    <row r="28" ht="15.75" customHeight="1">
      <c r="A28" s="1"/>
      <c r="B28" s="36" t="s">
        <v>6</v>
      </c>
      <c r="C28" s="37"/>
      <c r="D28" s="38" t="s">
        <v>38</v>
      </c>
      <c r="E28" s="38" t="s">
        <v>39</v>
      </c>
      <c r="F28" s="38" t="s">
        <v>7</v>
      </c>
      <c r="G28" s="38" t="s">
        <v>38</v>
      </c>
      <c r="H28" s="38" t="s">
        <v>39</v>
      </c>
      <c r="I28" s="38" t="s">
        <v>7</v>
      </c>
      <c r="J28" s="38" t="s">
        <v>7</v>
      </c>
      <c r="K28" s="48" t="s">
        <v>8</v>
      </c>
      <c r="L28" s="1"/>
      <c r="M28" s="1"/>
    </row>
    <row r="29" ht="15.75" customHeight="1">
      <c r="A29" s="1"/>
      <c r="B29" s="14" t="s">
        <v>45</v>
      </c>
      <c r="C29" s="16"/>
      <c r="D29" s="49">
        <v>105.0</v>
      </c>
      <c r="E29" s="15">
        <f>E38+E39+E40+E41</f>
        <v>220</v>
      </c>
      <c r="F29" s="15">
        <f t="shared" ref="F29:F31" si="2">D29*E29</f>
        <v>23100</v>
      </c>
      <c r="G29" s="16"/>
      <c r="H29" s="16"/>
      <c r="I29" s="16"/>
      <c r="J29" s="16"/>
      <c r="K29" s="55"/>
      <c r="L29" s="1"/>
      <c r="M29" s="1"/>
    </row>
    <row r="30" ht="15.75" customHeight="1">
      <c r="A30" s="1"/>
      <c r="B30" s="39" t="s">
        <v>46</v>
      </c>
      <c r="C30" s="40"/>
      <c r="D30" s="51">
        <v>10.0</v>
      </c>
      <c r="E30" s="41">
        <v>220.0</v>
      </c>
      <c r="F30" s="43">
        <f t="shared" si="2"/>
        <v>2200</v>
      </c>
      <c r="G30" s="40"/>
      <c r="H30" s="40"/>
      <c r="I30" s="40"/>
      <c r="J30" s="40"/>
      <c r="K30" s="56"/>
      <c r="L30" s="1"/>
      <c r="M30" s="1"/>
    </row>
    <row r="31" ht="15.75" customHeight="1">
      <c r="A31" s="1"/>
      <c r="B31" s="14" t="s">
        <v>47</v>
      </c>
      <c r="C31" s="16"/>
      <c r="D31" s="49">
        <v>5.0</v>
      </c>
      <c r="E31" s="50">
        <v>220.0</v>
      </c>
      <c r="F31" s="15">
        <f t="shared" si="2"/>
        <v>1100</v>
      </c>
      <c r="G31" s="16"/>
      <c r="H31" s="16"/>
      <c r="I31" s="16"/>
      <c r="J31" s="16"/>
      <c r="K31" s="55"/>
      <c r="L31" s="1"/>
      <c r="M31" s="1"/>
    </row>
    <row r="32" ht="15.75" customHeight="1">
      <c r="A32" s="1"/>
      <c r="B32" s="45" t="s">
        <v>27</v>
      </c>
      <c r="C32" s="46"/>
      <c r="D32" s="46"/>
      <c r="E32" s="53"/>
      <c r="F32" s="47">
        <f>SUM(F29:F31)</f>
        <v>26400</v>
      </c>
      <c r="G32" s="46"/>
      <c r="H32" s="46"/>
      <c r="I32" s="46"/>
      <c r="J32" s="46"/>
      <c r="K32" s="54"/>
      <c r="L32" s="1"/>
      <c r="M32" s="1"/>
    </row>
    <row r="33" ht="15.75" customHeight="1">
      <c r="A33" s="1"/>
      <c r="B33" s="5"/>
      <c r="C33" s="1"/>
      <c r="D33" s="1"/>
      <c r="E33" s="1"/>
      <c r="F33" s="34"/>
      <c r="G33" s="1"/>
      <c r="H33" s="1"/>
      <c r="I33" s="1"/>
      <c r="J33" s="1"/>
      <c r="K33" s="6"/>
      <c r="L33" s="1"/>
      <c r="M33" s="1"/>
    </row>
    <row r="34" ht="15.75" customHeight="1">
      <c r="A34" s="1"/>
      <c r="B34" s="35" t="s">
        <v>31</v>
      </c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</row>
    <row r="35" ht="15.75" customHeight="1">
      <c r="A35" s="1"/>
      <c r="B35" s="5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</row>
    <row r="36" ht="15.75" customHeight="1">
      <c r="A36" s="1"/>
      <c r="B36" s="7" t="s">
        <v>48</v>
      </c>
      <c r="C36" s="1"/>
      <c r="D36" s="8" t="s">
        <v>29</v>
      </c>
      <c r="E36" s="1"/>
      <c r="F36" s="1"/>
      <c r="G36" s="8" t="s">
        <v>3</v>
      </c>
      <c r="H36" s="1"/>
      <c r="I36" s="1"/>
      <c r="J36" s="8" t="s">
        <v>4</v>
      </c>
      <c r="K36" s="6"/>
      <c r="L36" s="1"/>
      <c r="M36" s="1"/>
    </row>
    <row r="37" ht="15.75" customHeight="1">
      <c r="A37" s="1"/>
      <c r="B37" s="57" t="s">
        <v>6</v>
      </c>
      <c r="C37" s="58"/>
      <c r="D37" s="59" t="s">
        <v>38</v>
      </c>
      <c r="E37" s="59" t="s">
        <v>39</v>
      </c>
      <c r="F37" s="59" t="s">
        <v>7</v>
      </c>
      <c r="G37" s="59" t="s">
        <v>49</v>
      </c>
      <c r="H37" s="59" t="s">
        <v>39</v>
      </c>
      <c r="I37" s="59" t="s">
        <v>7</v>
      </c>
      <c r="J37" s="59" t="s">
        <v>7</v>
      </c>
      <c r="K37" s="60" t="s">
        <v>8</v>
      </c>
      <c r="L37" s="1"/>
      <c r="M37" s="1"/>
    </row>
    <row r="38" ht="15.75" customHeight="1">
      <c r="A38" s="1"/>
      <c r="B38" s="14" t="s">
        <v>50</v>
      </c>
      <c r="C38" s="16"/>
      <c r="D38" s="49">
        <v>112.0</v>
      </c>
      <c r="E38" s="15">
        <f>130</f>
        <v>130</v>
      </c>
      <c r="F38" s="15">
        <f>D38*E38</f>
        <v>14560</v>
      </c>
      <c r="G38" s="49"/>
      <c r="H38" s="16"/>
      <c r="I38" s="15"/>
      <c r="J38" s="16"/>
      <c r="K38" s="17" t="s">
        <v>51</v>
      </c>
      <c r="L38" s="1"/>
      <c r="M38" s="1"/>
    </row>
    <row r="39" ht="15.75" customHeight="1">
      <c r="A39" s="1"/>
      <c r="B39" s="61" t="s">
        <v>52</v>
      </c>
      <c r="C39" s="62"/>
      <c r="D39" s="63">
        <v>155.0</v>
      </c>
      <c r="E39" s="64">
        <v>30.0</v>
      </c>
      <c r="F39" s="64">
        <f>PRODUCT(D39:E39)</f>
        <v>4650</v>
      </c>
      <c r="G39" s="62"/>
      <c r="H39" s="62"/>
      <c r="I39" s="64"/>
      <c r="J39" s="62"/>
      <c r="K39" s="65" t="s">
        <v>53</v>
      </c>
      <c r="L39" s="1"/>
      <c r="M39" s="1"/>
    </row>
    <row r="40" ht="15.75" customHeight="1">
      <c r="A40" s="1"/>
      <c r="B40" s="14" t="s">
        <v>54</v>
      </c>
      <c r="C40" s="16"/>
      <c r="D40" s="49">
        <v>160.0</v>
      </c>
      <c r="E40" s="15">
        <v>25.0</v>
      </c>
      <c r="F40" s="15">
        <f>D40*E40</f>
        <v>4000</v>
      </c>
      <c r="G40" s="16"/>
      <c r="H40" s="16"/>
      <c r="I40" s="66"/>
      <c r="J40" s="16"/>
      <c r="K40" s="17" t="s">
        <v>55</v>
      </c>
      <c r="L40" s="1"/>
      <c r="M40" s="1"/>
    </row>
    <row r="41" ht="15.75" customHeight="1">
      <c r="A41" s="1"/>
      <c r="B41" s="61" t="s">
        <v>56</v>
      </c>
      <c r="C41" s="62"/>
      <c r="D41" s="63">
        <f>SUM(D29:D31)</f>
        <v>120</v>
      </c>
      <c r="E41" s="64">
        <v>35.0</v>
      </c>
      <c r="F41" s="64">
        <f t="shared" ref="F41:F47" si="3">PRODUCT(D41:E41)</f>
        <v>4200</v>
      </c>
      <c r="G41" s="62"/>
      <c r="H41" s="62"/>
      <c r="I41" s="67"/>
      <c r="J41" s="62"/>
      <c r="K41" s="65" t="s">
        <v>57</v>
      </c>
      <c r="L41" s="1"/>
      <c r="M41" s="1"/>
    </row>
    <row r="42" ht="15.75" customHeight="1">
      <c r="A42" s="1"/>
      <c r="B42" s="14" t="s">
        <v>58</v>
      </c>
      <c r="C42" s="16"/>
      <c r="D42" s="49">
        <v>380.0</v>
      </c>
      <c r="E42" s="15">
        <v>67.32</v>
      </c>
      <c r="F42" s="15">
        <f t="shared" si="3"/>
        <v>25581.6</v>
      </c>
      <c r="G42" s="49"/>
      <c r="H42" s="16"/>
      <c r="I42" s="15"/>
      <c r="J42" s="15">
        <f>SUM(F42,-I42)</f>
        <v>25581.6</v>
      </c>
      <c r="K42" s="17" t="s">
        <v>59</v>
      </c>
      <c r="L42" s="1"/>
      <c r="M42" s="1"/>
    </row>
    <row r="43" ht="15.75" customHeight="1">
      <c r="A43" s="1"/>
      <c r="B43" s="61" t="s">
        <v>60</v>
      </c>
      <c r="C43" s="62"/>
      <c r="D43" s="63">
        <v>1.0</v>
      </c>
      <c r="E43" s="64">
        <v>500.0</v>
      </c>
      <c r="F43" s="64">
        <f t="shared" si="3"/>
        <v>500</v>
      </c>
      <c r="G43" s="62"/>
      <c r="H43" s="62"/>
      <c r="I43" s="67"/>
      <c r="J43" s="67"/>
      <c r="K43" s="65" t="s">
        <v>61</v>
      </c>
      <c r="L43" s="1"/>
      <c r="M43" s="1"/>
    </row>
    <row r="44" ht="15.75" customHeight="1">
      <c r="A44" s="1"/>
      <c r="B44" s="14" t="s">
        <v>62</v>
      </c>
      <c r="C44" s="16"/>
      <c r="D44" s="49">
        <v>300.0</v>
      </c>
      <c r="E44" s="15">
        <v>1.0</v>
      </c>
      <c r="F44" s="15">
        <f t="shared" si="3"/>
        <v>300</v>
      </c>
      <c r="G44" s="16"/>
      <c r="H44" s="16"/>
      <c r="I44" s="16"/>
      <c r="J44" s="16"/>
      <c r="K44" s="17" t="s">
        <v>63</v>
      </c>
      <c r="L44" s="1"/>
      <c r="M44" s="1"/>
    </row>
    <row r="45" ht="15.75" customHeight="1">
      <c r="A45" s="1"/>
      <c r="B45" s="61" t="s">
        <v>64</v>
      </c>
      <c r="C45" s="62"/>
      <c r="D45" s="63">
        <v>1.0</v>
      </c>
      <c r="E45" s="64">
        <v>8000.0</v>
      </c>
      <c r="F45" s="64">
        <f t="shared" si="3"/>
        <v>8000</v>
      </c>
      <c r="G45" s="68"/>
      <c r="H45" s="62"/>
      <c r="I45" s="62"/>
      <c r="J45" s="62"/>
      <c r="K45" s="65" t="s">
        <v>65</v>
      </c>
      <c r="L45" s="1"/>
      <c r="M45" s="1"/>
    </row>
    <row r="46" ht="15.75" customHeight="1">
      <c r="A46" s="1" t="s">
        <v>66</v>
      </c>
      <c r="B46" s="14" t="s">
        <v>67</v>
      </c>
      <c r="C46" s="16"/>
      <c r="D46" s="49">
        <v>5.0</v>
      </c>
      <c r="E46" s="15">
        <v>50.0</v>
      </c>
      <c r="F46" s="15">
        <f t="shared" si="3"/>
        <v>250</v>
      </c>
      <c r="G46" s="16"/>
      <c r="H46" s="16"/>
      <c r="I46" s="16">
        <v>3060.0</v>
      </c>
      <c r="J46" s="16"/>
      <c r="K46" s="17" t="s">
        <v>68</v>
      </c>
      <c r="L46" s="1"/>
      <c r="M46" s="1"/>
    </row>
    <row r="47" ht="15.75" customHeight="1">
      <c r="A47" s="1"/>
      <c r="B47" s="69" t="s">
        <v>69</v>
      </c>
      <c r="C47" s="62"/>
      <c r="D47" s="63">
        <v>1.0</v>
      </c>
      <c r="E47" s="64">
        <v>10000.0</v>
      </c>
      <c r="F47" s="64">
        <f t="shared" si="3"/>
        <v>10000</v>
      </c>
      <c r="G47" s="62"/>
      <c r="H47" s="62"/>
      <c r="I47" s="62"/>
      <c r="J47" s="62"/>
      <c r="K47" s="65" t="s">
        <v>70</v>
      </c>
      <c r="L47" s="1"/>
      <c r="M47" s="1"/>
    </row>
    <row r="48" ht="15.75" customHeight="1">
      <c r="A48" s="1"/>
      <c r="B48" s="14" t="s">
        <v>71</v>
      </c>
      <c r="C48" s="16"/>
      <c r="D48" s="49">
        <f>360</f>
        <v>360</v>
      </c>
      <c r="E48" s="15">
        <v>47.3</v>
      </c>
      <c r="F48" s="15">
        <f t="shared" ref="F48:F49" si="4">D48*E48</f>
        <v>17028</v>
      </c>
      <c r="G48" s="16"/>
      <c r="H48" s="16"/>
      <c r="I48" s="16"/>
      <c r="J48" s="16"/>
      <c r="K48" s="17" t="s">
        <v>72</v>
      </c>
      <c r="L48" s="1"/>
      <c r="M48" s="1"/>
    </row>
    <row r="49" ht="15.75" customHeight="1">
      <c r="A49" s="1"/>
      <c r="B49" s="69" t="s">
        <v>73</v>
      </c>
      <c r="C49" s="62"/>
      <c r="D49" s="63">
        <v>1.0</v>
      </c>
      <c r="E49" s="64">
        <v>10000.0</v>
      </c>
      <c r="F49" s="64">
        <f t="shared" si="4"/>
        <v>10000</v>
      </c>
      <c r="G49" s="62"/>
      <c r="H49" s="62"/>
      <c r="I49" s="62"/>
      <c r="J49" s="62"/>
      <c r="K49" s="65" t="s">
        <v>74</v>
      </c>
      <c r="L49" s="1"/>
      <c r="M49" s="1"/>
    </row>
    <row r="50" ht="15.75" customHeight="1">
      <c r="A50" s="1"/>
      <c r="B50" s="70" t="s">
        <v>27</v>
      </c>
      <c r="C50" s="71"/>
      <c r="D50" s="71"/>
      <c r="E50" s="72"/>
      <c r="F50" s="73">
        <f>SUM(F38:F49)</f>
        <v>99069.6</v>
      </c>
      <c r="G50" s="71"/>
      <c r="H50" s="71"/>
      <c r="I50" s="71"/>
      <c r="J50" s="71"/>
      <c r="K50" s="74"/>
      <c r="L50" s="1"/>
      <c r="M50" s="1"/>
    </row>
    <row r="51" ht="15.75" customHeight="1">
      <c r="A51" s="1"/>
      <c r="B51" s="1"/>
      <c r="C51" s="1"/>
      <c r="D51" s="1"/>
      <c r="E51" s="1"/>
      <c r="F51" s="34"/>
      <c r="G51" s="1"/>
      <c r="H51" s="1"/>
      <c r="I51" s="1"/>
      <c r="J51" s="1"/>
      <c r="K51" s="1"/>
      <c r="L51" s="1"/>
      <c r="M51" s="1"/>
    </row>
    <row r="52" ht="15.75" customHeight="1">
      <c r="A52" s="1"/>
      <c r="B52" s="75" t="s">
        <v>75</v>
      </c>
      <c r="C52" s="3"/>
      <c r="D52" s="3"/>
      <c r="E52" s="3"/>
      <c r="F52" s="3"/>
      <c r="G52" s="4"/>
      <c r="H52" s="1"/>
      <c r="I52" s="1"/>
      <c r="J52" s="1"/>
      <c r="K52" s="1"/>
      <c r="L52" s="1"/>
      <c r="M52" s="1"/>
    </row>
    <row r="53" ht="15.75" customHeight="1">
      <c r="A53" s="1"/>
      <c r="B53" s="5"/>
      <c r="C53" s="1"/>
      <c r="D53" s="1"/>
      <c r="E53" s="1"/>
      <c r="F53" s="1"/>
      <c r="G53" s="6"/>
      <c r="H53" s="1"/>
      <c r="I53" s="1"/>
      <c r="J53" s="1"/>
      <c r="K53" s="1"/>
      <c r="L53" s="1"/>
      <c r="M53" s="1"/>
    </row>
    <row r="54" ht="15.75" customHeight="1">
      <c r="A54" s="1"/>
      <c r="B54" s="7" t="s">
        <v>48</v>
      </c>
      <c r="C54" s="1"/>
      <c r="D54" s="8" t="s">
        <v>29</v>
      </c>
      <c r="E54" s="8" t="s">
        <v>3</v>
      </c>
      <c r="F54" s="8" t="s">
        <v>4</v>
      </c>
      <c r="G54" s="76" t="s">
        <v>8</v>
      </c>
      <c r="H54" s="1"/>
      <c r="I54" s="1"/>
      <c r="J54" s="1"/>
      <c r="K54" s="1"/>
      <c r="L54" s="1"/>
      <c r="M54" s="1"/>
    </row>
    <row r="55" ht="15.75" customHeight="1">
      <c r="A55" s="1"/>
      <c r="B55" s="57" t="s">
        <v>6</v>
      </c>
      <c r="C55" s="58"/>
      <c r="D55" s="59" t="s">
        <v>7</v>
      </c>
      <c r="E55" s="59" t="s">
        <v>7</v>
      </c>
      <c r="F55" s="59" t="s">
        <v>7</v>
      </c>
      <c r="G55" s="77"/>
      <c r="H55" s="1"/>
      <c r="I55" s="1"/>
      <c r="J55" s="1"/>
      <c r="K55" s="1"/>
      <c r="L55" s="1"/>
      <c r="M55" s="1"/>
    </row>
    <row r="56" ht="15.75" customHeight="1">
      <c r="A56" s="1"/>
      <c r="B56" s="14" t="s">
        <v>76</v>
      </c>
      <c r="C56" s="16"/>
      <c r="D56" s="15">
        <v>11350.0</v>
      </c>
      <c r="E56" s="78"/>
      <c r="F56" s="16"/>
      <c r="G56" s="17"/>
      <c r="H56" s="1"/>
      <c r="I56" s="1"/>
      <c r="J56" s="1"/>
      <c r="K56" s="1"/>
      <c r="L56" s="1"/>
      <c r="M56" s="1"/>
    </row>
    <row r="57" ht="15.75" customHeight="1">
      <c r="A57" s="1"/>
      <c r="B57" s="61" t="s">
        <v>77</v>
      </c>
      <c r="C57" s="62"/>
      <c r="D57" s="64">
        <v>11350.0</v>
      </c>
      <c r="E57" s="79"/>
      <c r="F57" s="62"/>
      <c r="G57" s="65"/>
      <c r="H57" s="1"/>
      <c r="I57" s="1"/>
      <c r="J57" s="1"/>
      <c r="K57" s="1"/>
      <c r="L57" s="1"/>
      <c r="M57" s="1"/>
    </row>
    <row r="58" ht="15.75" customHeight="1">
      <c r="A58" s="1"/>
      <c r="B58" s="70" t="s">
        <v>27</v>
      </c>
      <c r="C58" s="71"/>
      <c r="D58" s="73">
        <f>SUM(D56,D57)</f>
        <v>22700</v>
      </c>
      <c r="E58" s="71">
        <v>20400.0</v>
      </c>
      <c r="F58" s="72">
        <f>D58-E58</f>
        <v>2300</v>
      </c>
      <c r="G58" s="80"/>
      <c r="H58" s="1"/>
      <c r="I58" s="1"/>
      <c r="J58" s="1"/>
      <c r="K58" s="1"/>
      <c r="L58" s="1"/>
      <c r="M58" s="1"/>
    </row>
    <row r="59" ht="15.75" customHeight="1">
      <c r="A59" s="1"/>
      <c r="B59" s="1"/>
      <c r="C59" s="1"/>
      <c r="D59" s="34"/>
      <c r="E59" s="1"/>
      <c r="F59" s="1"/>
      <c r="G59" s="1"/>
      <c r="H59" s="1"/>
      <c r="I59" s="1"/>
      <c r="J59" s="1"/>
      <c r="K59" s="1"/>
      <c r="L59" s="1"/>
      <c r="M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 verticalCentered="1"/>
  <pageMargins bottom="0.75" footer="0.0" header="0.0" left="0.7" right="0.7" top="0.75"/>
  <pageSetup fitToHeight="0" paperSize="9" cellComments="atEnd" orientation="portrait" pageOrder="overThenDown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sheetData>
    <row r="1" ht="15.75" customHeight="1">
      <c r="A1" s="1"/>
      <c r="B1" s="1"/>
      <c r="C1" s="1"/>
      <c r="D1" s="1"/>
      <c r="E1" s="1"/>
      <c r="F1" s="1"/>
      <c r="G1" s="1"/>
      <c r="H1" s="1"/>
    </row>
    <row r="2" ht="15.75" customHeight="1">
      <c r="A2" s="1"/>
      <c r="B2" s="1"/>
      <c r="C2" s="1"/>
      <c r="D2" s="1"/>
      <c r="E2" s="1"/>
      <c r="F2" s="1"/>
      <c r="G2" s="1"/>
      <c r="H2" s="1"/>
    </row>
    <row r="3">
      <c r="A3" s="1"/>
      <c r="B3" s="81" t="s">
        <v>12</v>
      </c>
      <c r="C3" s="82"/>
      <c r="D3" s="82"/>
      <c r="E3" s="82"/>
      <c r="F3" s="83"/>
      <c r="G3" s="1"/>
      <c r="H3" s="1"/>
    </row>
    <row r="4" ht="15.75" customHeight="1">
      <c r="A4" s="1"/>
      <c r="B4" s="84"/>
      <c r="C4" s="1"/>
      <c r="D4" s="1"/>
      <c r="E4" s="1"/>
      <c r="F4" s="85"/>
      <c r="G4" s="1"/>
      <c r="H4" s="1"/>
    </row>
    <row r="5" ht="15.75" customHeight="1">
      <c r="A5" s="1"/>
      <c r="B5" s="84"/>
      <c r="C5" s="1"/>
      <c r="D5" s="1"/>
      <c r="E5" s="1"/>
      <c r="F5" s="85"/>
      <c r="G5" s="1"/>
      <c r="H5" s="1"/>
    </row>
    <row r="6" ht="15.75" customHeight="1">
      <c r="A6" s="1"/>
      <c r="B6" s="86" t="s">
        <v>0</v>
      </c>
      <c r="C6" s="1"/>
      <c r="D6" s="1"/>
      <c r="E6" s="1"/>
      <c r="F6" s="85"/>
      <c r="G6" s="1"/>
      <c r="H6" s="1"/>
    </row>
    <row r="7" ht="15.75" customHeight="1">
      <c r="A7" s="1"/>
      <c r="B7" s="84"/>
      <c r="C7" s="1"/>
      <c r="D7" s="1"/>
      <c r="E7" s="1"/>
      <c r="F7" s="85"/>
      <c r="G7" s="1"/>
      <c r="H7" s="1"/>
    </row>
    <row r="8" ht="15.75" customHeight="1">
      <c r="A8" s="1"/>
      <c r="B8" s="87" t="s">
        <v>1</v>
      </c>
      <c r="C8" s="8" t="s">
        <v>29</v>
      </c>
      <c r="D8" s="8" t="s">
        <v>3</v>
      </c>
      <c r="E8" s="8" t="s">
        <v>4</v>
      </c>
      <c r="F8" s="88" t="s">
        <v>8</v>
      </c>
      <c r="G8" s="1"/>
      <c r="H8" s="1"/>
    </row>
    <row r="9" ht="15.75" customHeight="1">
      <c r="A9" s="1"/>
      <c r="B9" s="89" t="s">
        <v>6</v>
      </c>
      <c r="C9" s="30" t="s">
        <v>7</v>
      </c>
      <c r="D9" s="30" t="s">
        <v>7</v>
      </c>
      <c r="E9" s="30" t="s">
        <v>7</v>
      </c>
      <c r="F9" s="90"/>
      <c r="G9" s="1"/>
      <c r="H9" s="1"/>
    </row>
    <row r="10" ht="15.75" customHeight="1">
      <c r="A10" s="1"/>
      <c r="B10" s="91" t="s">
        <v>10</v>
      </c>
      <c r="C10" s="15">
        <f>-C22</f>
        <v>-1000</v>
      </c>
      <c r="D10" s="16"/>
      <c r="E10" s="16"/>
      <c r="F10" s="92"/>
      <c r="G10" s="1"/>
      <c r="H10" s="1"/>
    </row>
    <row r="11" ht="15.75" customHeight="1">
      <c r="A11" s="1"/>
      <c r="B11" s="93" t="s">
        <v>27</v>
      </c>
      <c r="C11" s="94">
        <f>SUM(C10)</f>
        <v>-1000</v>
      </c>
      <c r="D11" s="95"/>
      <c r="E11" s="95"/>
      <c r="F11" s="96"/>
      <c r="G11" s="1"/>
      <c r="H11" s="1"/>
    </row>
    <row r="12" ht="15.75" customHeight="1">
      <c r="A12" s="1"/>
      <c r="B12" s="1"/>
      <c r="C12" s="1"/>
      <c r="D12" s="1"/>
      <c r="E12" s="1"/>
      <c r="F12" s="1"/>
      <c r="G12" s="1"/>
      <c r="H12" s="1"/>
    </row>
    <row r="13" ht="15.75" customHeight="1">
      <c r="A13" s="1"/>
      <c r="B13" s="1"/>
      <c r="C13" s="1"/>
      <c r="D13" s="1"/>
      <c r="E13" s="1"/>
      <c r="F13" s="1"/>
      <c r="G13" s="1"/>
      <c r="H13" s="1"/>
    </row>
    <row r="14" ht="15.75" customHeight="1">
      <c r="A14" s="1"/>
      <c r="B14" s="1"/>
      <c r="C14" s="1"/>
      <c r="D14" s="1"/>
      <c r="E14" s="1"/>
      <c r="F14" s="1"/>
      <c r="G14" s="1"/>
      <c r="H14" s="1"/>
    </row>
    <row r="15" ht="15.75" customHeight="1">
      <c r="A15" s="1"/>
      <c r="B15" s="1"/>
      <c r="C15" s="1"/>
      <c r="D15" s="1"/>
      <c r="E15" s="1"/>
      <c r="F15" s="1"/>
      <c r="G15" s="1"/>
      <c r="H15" s="1"/>
    </row>
    <row r="16" ht="15.75" customHeight="1">
      <c r="A16" s="1"/>
      <c r="B16" s="97" t="s">
        <v>10</v>
      </c>
      <c r="C16" s="82"/>
      <c r="D16" s="82"/>
      <c r="E16" s="82"/>
      <c r="F16" s="83"/>
      <c r="G16" s="1"/>
      <c r="H16" s="1"/>
    </row>
    <row r="17" ht="15.75" customHeight="1">
      <c r="A17" s="1"/>
      <c r="B17" s="84"/>
      <c r="C17" s="1"/>
      <c r="D17" s="1"/>
      <c r="E17" s="1"/>
      <c r="F17" s="85"/>
      <c r="G17" s="1"/>
      <c r="H17" s="1"/>
    </row>
    <row r="18" ht="15.75" customHeight="1">
      <c r="A18" s="1"/>
      <c r="B18" s="87" t="s">
        <v>78</v>
      </c>
      <c r="C18" s="8" t="s">
        <v>29</v>
      </c>
      <c r="D18" s="8" t="s">
        <v>3</v>
      </c>
      <c r="E18" s="8" t="s">
        <v>4</v>
      </c>
      <c r="F18" s="88" t="s">
        <v>8</v>
      </c>
      <c r="G18" s="1"/>
      <c r="H18" s="1"/>
    </row>
    <row r="19" ht="15.75" customHeight="1">
      <c r="A19" s="1"/>
      <c r="B19" s="98" t="s">
        <v>31</v>
      </c>
      <c r="C19" s="59" t="s">
        <v>7</v>
      </c>
      <c r="D19" s="59" t="s">
        <v>7</v>
      </c>
      <c r="E19" s="59" t="s">
        <v>7</v>
      </c>
      <c r="F19" s="99"/>
      <c r="G19" s="1"/>
      <c r="H19" s="1"/>
    </row>
    <row r="20" ht="15.75" customHeight="1">
      <c r="A20" s="1"/>
      <c r="B20" s="91" t="s">
        <v>79</v>
      </c>
      <c r="C20" s="15">
        <v>200.0</v>
      </c>
      <c r="D20" s="16"/>
      <c r="E20" s="16"/>
      <c r="F20" s="92" t="s">
        <v>80</v>
      </c>
      <c r="G20" s="1"/>
      <c r="H20" s="1"/>
    </row>
    <row r="21" ht="15.75" customHeight="1">
      <c r="A21" s="1"/>
      <c r="B21" s="100" t="s">
        <v>81</v>
      </c>
      <c r="C21" s="64">
        <v>800.0</v>
      </c>
      <c r="D21" s="64"/>
      <c r="E21" s="62"/>
      <c r="F21" s="101" t="s">
        <v>82</v>
      </c>
      <c r="G21" s="1"/>
      <c r="H21" s="1"/>
    </row>
    <row r="22" ht="15.75" customHeight="1">
      <c r="A22" s="1"/>
      <c r="B22" s="102" t="s">
        <v>27</v>
      </c>
      <c r="C22" s="103">
        <f t="shared" ref="C22:D22" si="1">SUM(C20,C21)</f>
        <v>1000</v>
      </c>
      <c r="D22" s="103">
        <f t="shared" si="1"/>
        <v>0</v>
      </c>
      <c r="E22" s="104"/>
      <c r="F22" s="105"/>
      <c r="G22" s="1"/>
      <c r="H22" s="1"/>
    </row>
    <row r="23" ht="15.75" customHeight="1">
      <c r="A23" s="1"/>
      <c r="B23" s="1"/>
      <c r="C23" s="1"/>
      <c r="D23" s="1"/>
      <c r="E23" s="1"/>
      <c r="F23" s="1"/>
      <c r="G23" s="1"/>
      <c r="H23" s="1"/>
    </row>
    <row r="24" ht="15.75" customHeight="1">
      <c r="A24" s="1"/>
      <c r="B24" s="1"/>
      <c r="C24" s="1"/>
      <c r="D24" s="1"/>
      <c r="E24" s="1"/>
      <c r="F24" s="1"/>
      <c r="G24" s="1"/>
      <c r="H24" s="1"/>
    </row>
    <row r="25" ht="15.75" customHeight="1">
      <c r="A25" s="1"/>
      <c r="B25" s="1"/>
      <c r="C25" s="1"/>
      <c r="D25" s="1"/>
      <c r="E25" s="1"/>
      <c r="F25" s="1"/>
      <c r="G25" s="1"/>
      <c r="H25" s="1"/>
    </row>
    <row r="26" ht="15.75" customHeight="1">
      <c r="A26" s="1"/>
      <c r="B26" s="1"/>
      <c r="C26" s="1"/>
      <c r="D26" s="1"/>
      <c r="E26" s="1"/>
      <c r="F26" s="1"/>
      <c r="G26" s="1"/>
      <c r="H26" s="1"/>
    </row>
    <row r="27" ht="15.75" customHeight="1">
      <c r="A27" s="1"/>
      <c r="B27" s="1"/>
      <c r="C27" s="1"/>
      <c r="D27" s="1"/>
      <c r="E27" s="1"/>
      <c r="F27" s="1"/>
      <c r="G27" s="1"/>
      <c r="H27" s="1"/>
    </row>
    <row r="28" ht="15.75" customHeight="1">
      <c r="A28" s="1"/>
      <c r="B28" s="1"/>
      <c r="C28" s="1"/>
      <c r="D28" s="1"/>
      <c r="E28" s="1"/>
      <c r="F28" s="1"/>
      <c r="G28" s="1"/>
      <c r="H28" s="1"/>
    </row>
    <row r="29" ht="15.75" customHeight="1">
      <c r="A29" s="1"/>
      <c r="B29" s="1"/>
      <c r="C29" s="1"/>
      <c r="D29" s="1"/>
      <c r="E29" s="1"/>
      <c r="F29" s="1"/>
      <c r="G29" s="1"/>
      <c r="H29" s="1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 vertic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1"/>
      <c r="B3" s="81" t="s">
        <v>14</v>
      </c>
      <c r="C3" s="82"/>
      <c r="D3" s="82"/>
      <c r="E3" s="82"/>
      <c r="F3" s="83"/>
      <c r="G3" s="1"/>
      <c r="H3" s="1"/>
      <c r="I3" s="1"/>
      <c r="J3" s="1"/>
    </row>
    <row r="4" ht="15.75" customHeight="1">
      <c r="A4" s="1"/>
      <c r="B4" s="84"/>
      <c r="C4" s="1"/>
      <c r="D4" s="1"/>
      <c r="E4" s="1"/>
      <c r="F4" s="85"/>
      <c r="G4" s="1"/>
      <c r="H4" s="1"/>
      <c r="I4" s="1"/>
      <c r="J4" s="1"/>
    </row>
    <row r="5" ht="15.75" customHeight="1">
      <c r="A5" s="1"/>
      <c r="B5" s="84"/>
      <c r="C5" s="1"/>
      <c r="D5" s="1"/>
      <c r="E5" s="1"/>
      <c r="F5" s="85"/>
      <c r="G5" s="1"/>
      <c r="H5" s="1"/>
      <c r="I5" s="1"/>
      <c r="J5" s="1"/>
    </row>
    <row r="6" ht="15.75" customHeight="1">
      <c r="A6" s="1"/>
      <c r="B6" s="86" t="s">
        <v>0</v>
      </c>
      <c r="C6" s="1"/>
      <c r="D6" s="1"/>
      <c r="E6" s="1"/>
      <c r="F6" s="85"/>
      <c r="G6" s="1"/>
      <c r="H6" s="1"/>
      <c r="I6" s="1"/>
      <c r="J6" s="1"/>
    </row>
    <row r="7" ht="15.75" customHeight="1">
      <c r="A7" s="1"/>
      <c r="B7" s="84"/>
      <c r="C7" s="1"/>
      <c r="D7" s="1"/>
      <c r="E7" s="1"/>
      <c r="F7" s="85"/>
      <c r="G7" s="1"/>
      <c r="H7" s="1"/>
      <c r="I7" s="1"/>
      <c r="J7" s="1"/>
    </row>
    <row r="8" ht="15.75" customHeight="1">
      <c r="A8" s="1"/>
      <c r="B8" s="87" t="s">
        <v>1</v>
      </c>
      <c r="C8" s="8" t="s">
        <v>29</v>
      </c>
      <c r="D8" s="8" t="s">
        <v>3</v>
      </c>
      <c r="E8" s="8" t="s">
        <v>4</v>
      </c>
      <c r="F8" s="88" t="s">
        <v>8</v>
      </c>
      <c r="G8" s="1"/>
      <c r="H8" s="1"/>
      <c r="I8" s="1"/>
      <c r="J8" s="1"/>
    </row>
    <row r="9" ht="15.75" customHeight="1">
      <c r="A9" s="1"/>
      <c r="B9" s="89" t="s">
        <v>6</v>
      </c>
      <c r="C9" s="30" t="s">
        <v>7</v>
      </c>
      <c r="D9" s="30" t="s">
        <v>7</v>
      </c>
      <c r="E9" s="30" t="s">
        <v>7</v>
      </c>
      <c r="F9" s="90"/>
      <c r="G9" s="1"/>
      <c r="H9" s="1"/>
      <c r="I9" s="1"/>
      <c r="J9" s="1"/>
    </row>
    <row r="10" ht="15.75" customHeight="1">
      <c r="A10" s="1"/>
      <c r="B10" s="91" t="s">
        <v>10</v>
      </c>
      <c r="C10" s="15">
        <v>0.0</v>
      </c>
      <c r="D10" s="15">
        <v>0.0</v>
      </c>
      <c r="E10" s="15">
        <v>0.0</v>
      </c>
      <c r="F10" s="92"/>
      <c r="G10" s="1"/>
      <c r="H10" s="1"/>
      <c r="I10" s="1"/>
      <c r="J10" s="1"/>
    </row>
    <row r="11" ht="15.75" customHeight="1">
      <c r="A11" s="1"/>
      <c r="B11" s="93" t="s">
        <v>27</v>
      </c>
      <c r="C11" s="94">
        <v>0.0</v>
      </c>
      <c r="D11" s="94">
        <v>0.0</v>
      </c>
      <c r="E11" s="94">
        <v>0.0</v>
      </c>
      <c r="F11" s="96"/>
      <c r="G11" s="1"/>
      <c r="H11" s="1"/>
      <c r="I11" s="1"/>
      <c r="J11" s="1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ht="15.75" customHeight="1">
      <c r="A16" s="1"/>
      <c r="B16" s="97" t="s">
        <v>10</v>
      </c>
      <c r="C16" s="82"/>
      <c r="D16" s="82"/>
      <c r="E16" s="82"/>
      <c r="F16" s="83"/>
      <c r="G16" s="1"/>
      <c r="H16" s="1"/>
      <c r="I16" s="1"/>
      <c r="J16" s="1"/>
    </row>
    <row r="17" ht="15.75" customHeight="1">
      <c r="A17" s="1"/>
      <c r="B17" s="84"/>
      <c r="C17" s="1"/>
      <c r="D17" s="1"/>
      <c r="E17" s="1"/>
      <c r="F17" s="85"/>
      <c r="G17" s="1"/>
      <c r="H17" s="1"/>
      <c r="I17" s="1"/>
      <c r="J17" s="1"/>
    </row>
    <row r="18" ht="15.75" customHeight="1">
      <c r="A18" s="1"/>
      <c r="B18" s="87" t="s">
        <v>78</v>
      </c>
      <c r="C18" s="8" t="s">
        <v>29</v>
      </c>
      <c r="D18" s="8" t="s">
        <v>3</v>
      </c>
      <c r="E18" s="8" t="s">
        <v>4</v>
      </c>
      <c r="F18" s="88" t="s">
        <v>8</v>
      </c>
      <c r="G18" s="1"/>
      <c r="H18" s="1"/>
      <c r="I18" s="1"/>
      <c r="J18" s="1"/>
    </row>
    <row r="19" ht="15.75" customHeight="1">
      <c r="A19" s="1"/>
      <c r="B19" s="98" t="s">
        <v>37</v>
      </c>
      <c r="C19" s="106" t="s">
        <v>7</v>
      </c>
      <c r="D19" s="106" t="s">
        <v>7</v>
      </c>
      <c r="E19" s="106" t="s">
        <v>7</v>
      </c>
      <c r="F19" s="99"/>
      <c r="G19" s="1"/>
      <c r="H19" s="1"/>
      <c r="I19" s="1"/>
      <c r="J19" s="1"/>
    </row>
    <row r="20" ht="15.75" customHeight="1">
      <c r="A20" s="1"/>
      <c r="B20" s="91" t="s">
        <v>6</v>
      </c>
      <c r="C20" s="15">
        <v>0.0</v>
      </c>
      <c r="D20" s="15">
        <v>0.0</v>
      </c>
      <c r="E20" s="15">
        <v>0.0</v>
      </c>
      <c r="F20" s="92"/>
      <c r="G20" s="1"/>
      <c r="H20" s="1"/>
      <c r="I20" s="1"/>
      <c r="J20" s="1"/>
    </row>
    <row r="21" ht="15.75" customHeight="1">
      <c r="A21" s="1"/>
      <c r="B21" s="102" t="s">
        <v>27</v>
      </c>
      <c r="C21" s="103">
        <v>0.0</v>
      </c>
      <c r="D21" s="103">
        <v>0.0</v>
      </c>
      <c r="E21" s="103">
        <v>0.0</v>
      </c>
      <c r="F21" s="105"/>
      <c r="G21" s="1"/>
      <c r="H21" s="1"/>
      <c r="I21" s="1"/>
      <c r="J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 vertic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1"/>
      <c r="B3" s="81" t="s">
        <v>17</v>
      </c>
      <c r="C3" s="82"/>
      <c r="D3" s="82"/>
      <c r="E3" s="82"/>
      <c r="F3" s="82"/>
      <c r="G3" s="83"/>
      <c r="H3" s="1"/>
      <c r="I3" s="1"/>
      <c r="J3" s="1"/>
    </row>
    <row r="4" ht="15.75" customHeight="1">
      <c r="A4" s="1"/>
      <c r="B4" s="84"/>
      <c r="C4" s="1"/>
      <c r="D4" s="1"/>
      <c r="E4" s="1"/>
      <c r="F4" s="1"/>
      <c r="G4" s="85"/>
      <c r="H4" s="1"/>
      <c r="I4" s="1"/>
      <c r="J4" s="1"/>
    </row>
    <row r="5" ht="15.75" customHeight="1">
      <c r="A5" s="1"/>
      <c r="B5" s="84"/>
      <c r="C5" s="1"/>
      <c r="D5" s="1"/>
      <c r="E5" s="1"/>
      <c r="F5" s="1"/>
      <c r="G5" s="85"/>
      <c r="H5" s="1"/>
      <c r="I5" s="1"/>
      <c r="J5" s="1"/>
    </row>
    <row r="6" ht="15.75" customHeight="1">
      <c r="A6" s="1"/>
      <c r="B6" s="86" t="s">
        <v>0</v>
      </c>
      <c r="C6" s="1"/>
      <c r="D6" s="1"/>
      <c r="E6" s="1"/>
      <c r="F6" s="1"/>
      <c r="G6" s="85"/>
      <c r="H6" s="1"/>
      <c r="I6" s="1"/>
      <c r="J6" s="1"/>
    </row>
    <row r="7" ht="15.75" customHeight="1">
      <c r="A7" s="1"/>
      <c r="B7" s="84"/>
      <c r="C7" s="1"/>
      <c r="D7" s="1"/>
      <c r="E7" s="1"/>
      <c r="F7" s="1"/>
      <c r="G7" s="85"/>
      <c r="H7" s="1"/>
      <c r="I7" s="1"/>
      <c r="J7" s="1"/>
    </row>
    <row r="8" ht="15.75" customHeight="1">
      <c r="A8" s="1"/>
      <c r="B8" s="87" t="s">
        <v>1</v>
      </c>
      <c r="C8" s="1"/>
      <c r="D8" s="1" t="s">
        <v>29</v>
      </c>
      <c r="E8" s="1" t="s">
        <v>3</v>
      </c>
      <c r="F8" s="1" t="s">
        <v>4</v>
      </c>
      <c r="G8" s="88" t="s">
        <v>8</v>
      </c>
      <c r="H8" s="1"/>
      <c r="I8" s="1"/>
      <c r="J8" s="1"/>
    </row>
    <row r="9" ht="15.75" customHeight="1">
      <c r="A9" s="1"/>
      <c r="B9" s="89" t="s">
        <v>6</v>
      </c>
      <c r="C9" s="29"/>
      <c r="D9" s="29" t="s">
        <v>7</v>
      </c>
      <c r="E9" s="29" t="s">
        <v>7</v>
      </c>
      <c r="F9" s="29" t="s">
        <v>7</v>
      </c>
      <c r="G9" s="90"/>
      <c r="H9" s="1"/>
      <c r="I9" s="1"/>
      <c r="J9" s="1"/>
    </row>
    <row r="10" ht="15.75" customHeight="1">
      <c r="A10" s="1"/>
      <c r="B10" s="91" t="s">
        <v>10</v>
      </c>
      <c r="C10" s="16"/>
      <c r="D10" s="15">
        <f>-D25</f>
        <v>-3470</v>
      </c>
      <c r="E10" s="16"/>
      <c r="F10" s="16"/>
      <c r="G10" s="92"/>
      <c r="H10" s="1"/>
      <c r="I10" s="1"/>
      <c r="J10" s="1"/>
    </row>
    <row r="11" ht="15.75" customHeight="1">
      <c r="A11" s="1"/>
      <c r="B11" s="107" t="s">
        <v>83</v>
      </c>
      <c r="C11" s="20"/>
      <c r="D11" s="19">
        <f>-D35</f>
        <v>0</v>
      </c>
      <c r="E11" s="20"/>
      <c r="F11" s="20"/>
      <c r="G11" s="108"/>
      <c r="H11" s="1"/>
      <c r="I11" s="1"/>
      <c r="J11" s="1"/>
    </row>
    <row r="12" ht="15.75" customHeight="1">
      <c r="A12" s="1"/>
      <c r="B12" s="93" t="s">
        <v>27</v>
      </c>
      <c r="C12" s="95"/>
      <c r="D12" s="94">
        <f>SUM(D10,D11)</f>
        <v>-3470</v>
      </c>
      <c r="E12" s="95"/>
      <c r="F12" s="95"/>
      <c r="G12" s="96"/>
      <c r="H12" s="1"/>
      <c r="I12" s="1"/>
      <c r="J12" s="1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ht="15.75" customHeight="1">
      <c r="A17" s="1"/>
      <c r="B17" s="97" t="s">
        <v>10</v>
      </c>
      <c r="C17" s="82"/>
      <c r="D17" s="82"/>
      <c r="E17" s="82"/>
      <c r="F17" s="82"/>
      <c r="G17" s="83"/>
      <c r="H17" s="1"/>
      <c r="I17" s="1"/>
      <c r="J17" s="1"/>
    </row>
    <row r="18" ht="15.75" customHeight="1">
      <c r="A18" s="1"/>
      <c r="B18" s="84"/>
      <c r="C18" s="1"/>
      <c r="D18" s="1"/>
      <c r="E18" s="1"/>
      <c r="F18" s="1"/>
      <c r="G18" s="85"/>
      <c r="H18" s="1"/>
      <c r="I18" s="1"/>
      <c r="J18" s="1"/>
    </row>
    <row r="19" ht="15.75" customHeight="1">
      <c r="A19" s="1"/>
      <c r="B19" s="87" t="s">
        <v>78</v>
      </c>
      <c r="C19" s="1"/>
      <c r="D19" s="1" t="s">
        <v>29</v>
      </c>
      <c r="E19" s="1" t="s">
        <v>3</v>
      </c>
      <c r="F19" s="1" t="s">
        <v>4</v>
      </c>
      <c r="G19" s="88" t="s">
        <v>8</v>
      </c>
      <c r="H19" s="1"/>
      <c r="I19" s="1"/>
      <c r="J19" s="1"/>
    </row>
    <row r="20" ht="15.75" customHeight="1">
      <c r="A20" s="1"/>
      <c r="B20" s="98" t="s">
        <v>6</v>
      </c>
      <c r="C20" s="58"/>
      <c r="D20" s="58" t="s">
        <v>7</v>
      </c>
      <c r="E20" s="58" t="s">
        <v>7</v>
      </c>
      <c r="F20" s="58" t="s">
        <v>7</v>
      </c>
      <c r="G20" s="99"/>
      <c r="H20" s="1"/>
      <c r="I20" s="1"/>
      <c r="J20" s="1"/>
    </row>
    <row r="21" ht="15.75" customHeight="1">
      <c r="A21" s="1"/>
      <c r="B21" s="91" t="s">
        <v>84</v>
      </c>
      <c r="C21" s="16"/>
      <c r="D21" s="15">
        <v>1050.0</v>
      </c>
      <c r="E21" s="16"/>
      <c r="F21" s="16"/>
      <c r="G21" s="92" t="s">
        <v>85</v>
      </c>
      <c r="H21" s="1"/>
      <c r="I21" s="1"/>
      <c r="J21" s="1"/>
    </row>
    <row r="22" ht="15.75" customHeight="1">
      <c r="A22" s="1"/>
      <c r="B22" s="100" t="s">
        <v>86</v>
      </c>
      <c r="C22" s="62"/>
      <c r="D22" s="64">
        <v>1000.0</v>
      </c>
      <c r="E22" s="62"/>
      <c r="F22" s="62"/>
      <c r="G22" s="109" t="s">
        <v>87</v>
      </c>
      <c r="H22" s="1"/>
      <c r="I22" s="1"/>
      <c r="J22" s="1"/>
    </row>
    <row r="23" ht="15.75" customHeight="1">
      <c r="A23" s="1"/>
      <c r="B23" s="110" t="s">
        <v>88</v>
      </c>
      <c r="C23" s="16"/>
      <c r="D23" s="15">
        <v>420.0</v>
      </c>
      <c r="E23" s="16"/>
      <c r="F23" s="16"/>
      <c r="G23" s="111" t="s">
        <v>89</v>
      </c>
      <c r="H23" s="1"/>
      <c r="I23" s="1"/>
      <c r="J23" s="1"/>
    </row>
    <row r="24" ht="15.75" customHeight="1">
      <c r="A24" s="1"/>
      <c r="B24" s="100" t="s">
        <v>90</v>
      </c>
      <c r="C24" s="62"/>
      <c r="D24" s="64">
        <v>1000.0</v>
      </c>
      <c r="E24" s="64"/>
      <c r="F24" s="62"/>
      <c r="G24" s="109" t="s">
        <v>91</v>
      </c>
      <c r="H24" s="1"/>
      <c r="I24" s="1"/>
      <c r="J24" s="1"/>
    </row>
    <row r="25" ht="15.75" customHeight="1">
      <c r="A25" s="1"/>
      <c r="B25" s="102" t="s">
        <v>27</v>
      </c>
      <c r="C25" s="104"/>
      <c r="D25" s="103">
        <f>SUM(D21,D22,D23,D24)</f>
        <v>3470</v>
      </c>
      <c r="E25" s="103"/>
      <c r="F25" s="104"/>
      <c r="G25" s="105"/>
      <c r="H25" s="1"/>
      <c r="I25" s="1"/>
      <c r="J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ht="15.75" customHeight="1">
      <c r="A30" s="1"/>
      <c r="B30" s="97" t="s">
        <v>92</v>
      </c>
      <c r="C30" s="82"/>
      <c r="D30" s="82"/>
      <c r="E30" s="82"/>
      <c r="F30" s="82"/>
      <c r="G30" s="83"/>
      <c r="H30" s="1"/>
      <c r="I30" s="1"/>
      <c r="J30" s="1"/>
    </row>
    <row r="31" ht="15.75" customHeight="1">
      <c r="A31" s="1"/>
      <c r="B31" s="84"/>
      <c r="C31" s="1"/>
      <c r="D31" s="1"/>
      <c r="E31" s="1"/>
      <c r="F31" s="1"/>
      <c r="G31" s="85"/>
      <c r="H31" s="1"/>
      <c r="I31" s="1"/>
      <c r="J31" s="1"/>
    </row>
    <row r="32" ht="15.75" customHeight="1">
      <c r="A32" s="1"/>
      <c r="B32" s="112" t="s">
        <v>78</v>
      </c>
      <c r="C32" s="1"/>
      <c r="D32" s="1" t="s">
        <v>2</v>
      </c>
      <c r="E32" s="1" t="s">
        <v>3</v>
      </c>
      <c r="F32" s="1" t="s">
        <v>4</v>
      </c>
      <c r="G32" s="88" t="s">
        <v>8</v>
      </c>
      <c r="H32" s="1"/>
      <c r="I32" s="1"/>
      <c r="J32" s="1"/>
    </row>
    <row r="33" ht="15.75" customHeight="1">
      <c r="A33" s="1"/>
      <c r="B33" s="98" t="s">
        <v>6</v>
      </c>
      <c r="C33" s="58"/>
      <c r="D33" s="58" t="s">
        <v>7</v>
      </c>
      <c r="E33" s="58" t="s">
        <v>7</v>
      </c>
      <c r="F33" s="58" t="s">
        <v>7</v>
      </c>
      <c r="G33" s="99"/>
      <c r="H33" s="1"/>
      <c r="I33" s="1"/>
      <c r="J33" s="1"/>
    </row>
    <row r="34" ht="15.75" customHeight="1">
      <c r="A34" s="1"/>
      <c r="B34" s="91" t="s">
        <v>56</v>
      </c>
      <c r="C34" s="16"/>
      <c r="D34" s="15">
        <f>0</f>
        <v>0</v>
      </c>
      <c r="E34" s="16"/>
      <c r="F34" s="16"/>
      <c r="G34" s="111" t="s">
        <v>93</v>
      </c>
      <c r="H34" s="1"/>
      <c r="I34" s="1"/>
      <c r="J34" s="1"/>
    </row>
    <row r="35" ht="15.75" customHeight="1">
      <c r="A35" s="1"/>
      <c r="B35" s="102" t="s">
        <v>27</v>
      </c>
      <c r="C35" s="104"/>
      <c r="D35" s="103">
        <f>D34</f>
        <v>0</v>
      </c>
      <c r="E35" s="104"/>
      <c r="F35" s="104"/>
      <c r="G35" s="105"/>
      <c r="H35" s="1"/>
      <c r="I35" s="1"/>
      <c r="J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>
      <c r="A3" s="1"/>
      <c r="B3" s="81" t="s">
        <v>18</v>
      </c>
      <c r="C3" s="82"/>
      <c r="D3" s="82"/>
      <c r="E3" s="82"/>
      <c r="F3" s="82"/>
      <c r="G3" s="83"/>
      <c r="H3" s="1"/>
      <c r="I3" s="1"/>
      <c r="J3" s="1"/>
      <c r="K3" s="1"/>
      <c r="L3" s="1"/>
    </row>
    <row r="4" ht="15.75" customHeight="1">
      <c r="A4" s="1"/>
      <c r="B4" s="84"/>
      <c r="C4" s="1"/>
      <c r="D4" s="1"/>
      <c r="E4" s="1"/>
      <c r="F4" s="1"/>
      <c r="G4" s="85"/>
      <c r="H4" s="1"/>
      <c r="I4" s="1"/>
      <c r="J4" s="1"/>
      <c r="K4" s="1"/>
      <c r="L4" s="1"/>
    </row>
    <row r="5" ht="15.75" customHeight="1">
      <c r="A5" s="1"/>
      <c r="B5" s="84"/>
      <c r="C5" s="1"/>
      <c r="D5" s="1"/>
      <c r="E5" s="1"/>
      <c r="F5" s="1"/>
      <c r="G5" s="85"/>
      <c r="H5" s="1"/>
      <c r="I5" s="1"/>
      <c r="J5" s="1"/>
      <c r="K5" s="1"/>
      <c r="L5" s="1"/>
    </row>
    <row r="6" ht="15.75" customHeight="1">
      <c r="A6" s="1"/>
      <c r="B6" s="86" t="s">
        <v>0</v>
      </c>
      <c r="C6" s="1"/>
      <c r="D6" s="1"/>
      <c r="E6" s="1"/>
      <c r="F6" s="1"/>
      <c r="G6" s="85"/>
      <c r="H6" s="1"/>
      <c r="I6" s="1"/>
      <c r="J6" s="1"/>
      <c r="K6" s="1"/>
      <c r="L6" s="1"/>
    </row>
    <row r="7" ht="15.75" customHeight="1">
      <c r="A7" s="1"/>
      <c r="B7" s="84"/>
      <c r="C7" s="1"/>
      <c r="D7" s="1"/>
      <c r="E7" s="1"/>
      <c r="F7" s="1"/>
      <c r="G7" s="85"/>
      <c r="H7" s="1"/>
      <c r="I7" s="1"/>
      <c r="J7" s="1"/>
      <c r="K7" s="1"/>
      <c r="L7" s="1"/>
    </row>
    <row r="8" ht="15.75" customHeight="1">
      <c r="A8" s="1"/>
      <c r="B8" s="87" t="s">
        <v>1</v>
      </c>
      <c r="C8" s="1"/>
      <c r="D8" s="8" t="s">
        <v>29</v>
      </c>
      <c r="E8" s="8" t="s">
        <v>3</v>
      </c>
      <c r="F8" s="8" t="s">
        <v>4</v>
      </c>
      <c r="G8" s="88" t="s">
        <v>8</v>
      </c>
      <c r="H8" s="1"/>
      <c r="I8" s="1"/>
      <c r="J8" s="1"/>
      <c r="K8" s="1"/>
      <c r="L8" s="1"/>
    </row>
    <row r="9" ht="15.75" customHeight="1">
      <c r="A9" s="1"/>
      <c r="B9" s="89" t="s">
        <v>6</v>
      </c>
      <c r="C9" s="29"/>
      <c r="D9" s="30" t="s">
        <v>7</v>
      </c>
      <c r="E9" s="30" t="s">
        <v>7</v>
      </c>
      <c r="F9" s="30" t="s">
        <v>7</v>
      </c>
      <c r="G9" s="90"/>
      <c r="H9" s="1"/>
      <c r="I9" s="1"/>
      <c r="J9" s="1"/>
      <c r="K9" s="1"/>
      <c r="L9" s="1"/>
    </row>
    <row r="10" ht="15.75" customHeight="1">
      <c r="A10" s="1"/>
      <c r="B10" s="91" t="s">
        <v>10</v>
      </c>
      <c r="C10" s="16"/>
      <c r="D10" s="15">
        <f>-D24</f>
        <v>-14500</v>
      </c>
      <c r="E10" s="16"/>
      <c r="F10" s="16"/>
      <c r="H10" s="1"/>
      <c r="I10" s="1"/>
      <c r="J10" s="1"/>
      <c r="K10" s="1"/>
      <c r="L10" s="1"/>
    </row>
    <row r="11" ht="15.75" customHeight="1">
      <c r="A11" s="1"/>
      <c r="B11" s="113" t="s">
        <v>94</v>
      </c>
      <c r="C11" s="20"/>
      <c r="D11" s="19">
        <f>D35</f>
        <v>1100</v>
      </c>
      <c r="E11" s="20"/>
      <c r="F11" s="20"/>
      <c r="G11" s="108"/>
      <c r="H11" s="1"/>
      <c r="I11" s="1"/>
      <c r="J11" s="1"/>
      <c r="K11" s="1"/>
      <c r="L11" s="1"/>
      <c r="N11" s="114" t="s">
        <v>95</v>
      </c>
    </row>
    <row r="12" ht="15.75" customHeight="1">
      <c r="A12" s="1"/>
      <c r="B12" s="91" t="s">
        <v>96</v>
      </c>
      <c r="C12" s="16"/>
      <c r="D12" s="15">
        <f>D59</f>
        <v>20</v>
      </c>
      <c r="E12" s="16"/>
      <c r="F12" s="16"/>
      <c r="G12" s="92"/>
      <c r="H12" s="1"/>
      <c r="I12" s="1"/>
      <c r="J12" s="1"/>
      <c r="K12" s="1"/>
      <c r="L12" s="1"/>
    </row>
    <row r="13" ht="15.75" customHeight="1">
      <c r="A13" s="1"/>
      <c r="B13" s="93" t="s">
        <v>27</v>
      </c>
      <c r="C13" s="95"/>
      <c r="D13" s="94">
        <f>SUM(D10,D12,D11)</f>
        <v>-13380</v>
      </c>
      <c r="E13" s="95"/>
      <c r="F13" s="95"/>
      <c r="G13" s="96"/>
      <c r="H13" s="1"/>
      <c r="I13" s="1"/>
      <c r="J13" s="1"/>
      <c r="K13" s="1"/>
      <c r="L13" s="1"/>
    </row>
    <row r="14" ht="15.75" customHeight="1">
      <c r="A14" s="1"/>
      <c r="B14" s="1" t="s">
        <v>97</v>
      </c>
      <c r="C14" s="34">
        <f>D41+F66</f>
        <v>10770</v>
      </c>
      <c r="D14" s="1"/>
      <c r="E14" s="1"/>
      <c r="F14" s="1"/>
      <c r="G14" s="1"/>
      <c r="H14" s="1"/>
      <c r="I14" s="1"/>
      <c r="J14" s="1"/>
      <c r="K14" s="1"/>
      <c r="L14" s="1"/>
    </row>
    <row r="15" ht="15.75" customHeight="1">
      <c r="A15" s="1"/>
      <c r="B15" s="1" t="s">
        <v>48</v>
      </c>
      <c r="C15" s="34">
        <f>-1*(D24+F48+F77)</f>
        <v>-24150</v>
      </c>
      <c r="D15" s="1"/>
      <c r="E15" s="1"/>
      <c r="F15" s="1"/>
      <c r="G15" s="1"/>
      <c r="H15" s="1"/>
      <c r="I15" s="1"/>
      <c r="J15" s="1"/>
      <c r="K15" s="1"/>
      <c r="L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ht="15.75" customHeight="1">
      <c r="A18" s="1"/>
      <c r="B18" s="97" t="s">
        <v>10</v>
      </c>
      <c r="C18" s="82"/>
      <c r="D18" s="82"/>
      <c r="E18" s="82"/>
      <c r="F18" s="82"/>
      <c r="G18" s="83"/>
      <c r="H18" s="1"/>
      <c r="I18" s="1"/>
      <c r="J18" s="1"/>
      <c r="K18" s="1"/>
      <c r="L18" s="1"/>
    </row>
    <row r="19" ht="15.75" customHeight="1">
      <c r="A19" s="1"/>
      <c r="B19" s="84"/>
      <c r="C19" s="1"/>
      <c r="D19" s="1"/>
      <c r="E19" s="1"/>
      <c r="F19" s="1"/>
      <c r="G19" s="85"/>
      <c r="H19" s="1"/>
      <c r="I19" s="1"/>
      <c r="J19" s="1"/>
      <c r="K19" s="1"/>
      <c r="L19" s="1"/>
    </row>
    <row r="20" ht="15.75" customHeight="1">
      <c r="A20" s="1"/>
      <c r="B20" s="87" t="s">
        <v>78</v>
      </c>
      <c r="C20" s="1"/>
      <c r="D20" s="8" t="s">
        <v>29</v>
      </c>
      <c r="E20" s="8" t="s">
        <v>3</v>
      </c>
      <c r="F20" s="8" t="s">
        <v>4</v>
      </c>
      <c r="G20" s="88" t="s">
        <v>8</v>
      </c>
      <c r="H20" s="1"/>
      <c r="I20" s="1"/>
      <c r="J20" s="1"/>
      <c r="K20" s="1"/>
      <c r="L20" s="1"/>
    </row>
    <row r="21" ht="15.75" customHeight="1">
      <c r="A21" s="1"/>
      <c r="B21" s="98" t="s">
        <v>6</v>
      </c>
      <c r="C21" s="58"/>
      <c r="D21" s="59" t="s">
        <v>7</v>
      </c>
      <c r="E21" s="59" t="s">
        <v>7</v>
      </c>
      <c r="F21" s="59" t="s">
        <v>7</v>
      </c>
      <c r="G21" s="99"/>
      <c r="H21" s="1"/>
      <c r="I21" s="1"/>
      <c r="J21" s="1"/>
      <c r="K21" s="1"/>
      <c r="L21" s="1"/>
    </row>
    <row r="22" ht="15.75" customHeight="1">
      <c r="A22" s="1"/>
      <c r="B22" s="91" t="s">
        <v>98</v>
      </c>
      <c r="C22" s="16"/>
      <c r="D22" s="15">
        <v>13000.0</v>
      </c>
      <c r="E22" s="16"/>
      <c r="F22" s="16"/>
      <c r="G22" s="111" t="s">
        <v>99</v>
      </c>
      <c r="H22" s="1"/>
      <c r="I22" s="1"/>
      <c r="J22" s="1"/>
      <c r="K22" s="1"/>
      <c r="L22" s="1"/>
    </row>
    <row r="23" ht="15.75" customHeight="1">
      <c r="A23" s="1"/>
      <c r="B23" s="100" t="s">
        <v>100</v>
      </c>
      <c r="C23" s="62"/>
      <c r="D23" s="64">
        <v>1500.0</v>
      </c>
      <c r="E23" s="62"/>
      <c r="F23" s="62"/>
      <c r="G23" s="101"/>
      <c r="H23" s="1"/>
      <c r="I23" s="1"/>
      <c r="J23" s="1"/>
      <c r="K23" s="1"/>
      <c r="L23" s="1"/>
    </row>
    <row r="24" ht="15.75" customHeight="1">
      <c r="A24" s="1"/>
      <c r="B24" s="102" t="s">
        <v>27</v>
      </c>
      <c r="C24" s="104"/>
      <c r="D24" s="103">
        <f>SUM(D22,D23)</f>
        <v>14500</v>
      </c>
      <c r="E24" s="104"/>
      <c r="F24" s="104"/>
      <c r="G24" s="105"/>
      <c r="H24" s="1"/>
      <c r="I24" s="1"/>
      <c r="J24" s="1"/>
      <c r="K24" s="1"/>
      <c r="L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.75" customHeight="1">
      <c r="A29" s="1"/>
      <c r="B29" s="97" t="s">
        <v>94</v>
      </c>
      <c r="C29" s="115"/>
      <c r="D29" s="82"/>
      <c r="E29" s="82"/>
      <c r="F29" s="82"/>
      <c r="G29" s="82"/>
      <c r="H29" s="82"/>
      <c r="I29" s="82"/>
      <c r="J29" s="82"/>
      <c r="K29" s="83"/>
      <c r="L29" s="1"/>
    </row>
    <row r="30" ht="15.75" customHeight="1">
      <c r="A30" s="1"/>
      <c r="B30" s="84"/>
      <c r="C30" s="1"/>
      <c r="D30" s="1"/>
      <c r="E30" s="1"/>
      <c r="F30" s="1"/>
      <c r="G30" s="1"/>
      <c r="H30" s="1"/>
      <c r="I30" s="1"/>
      <c r="J30" s="1"/>
      <c r="K30" s="85"/>
      <c r="L30" s="1"/>
    </row>
    <row r="31" ht="15.75" customHeight="1">
      <c r="A31" s="1"/>
      <c r="B31" s="87" t="s">
        <v>1</v>
      </c>
      <c r="C31" s="1"/>
      <c r="D31" s="8" t="s">
        <v>29</v>
      </c>
      <c r="E31" s="8" t="s">
        <v>3</v>
      </c>
      <c r="F31" s="8" t="s">
        <v>4</v>
      </c>
      <c r="G31" s="8" t="s">
        <v>8</v>
      </c>
      <c r="H31" s="1"/>
      <c r="I31" s="1"/>
      <c r="J31" s="1"/>
      <c r="K31" s="85"/>
      <c r="L31" s="1"/>
    </row>
    <row r="32" ht="15.75" customHeight="1">
      <c r="A32" s="1"/>
      <c r="B32" s="89" t="s">
        <v>6</v>
      </c>
      <c r="C32" s="29"/>
      <c r="D32" s="30" t="s">
        <v>7</v>
      </c>
      <c r="E32" s="30" t="s">
        <v>7</v>
      </c>
      <c r="F32" s="30" t="s">
        <v>7</v>
      </c>
      <c r="G32" s="29"/>
      <c r="H32" s="1"/>
      <c r="I32" s="1"/>
      <c r="J32" s="1"/>
      <c r="K32" s="85"/>
      <c r="L32" s="1"/>
    </row>
    <row r="33" ht="15.75" customHeight="1">
      <c r="A33" s="1"/>
      <c r="B33" s="91" t="s">
        <v>97</v>
      </c>
      <c r="C33" s="16"/>
      <c r="D33" s="15">
        <f>D41</f>
        <v>5000</v>
      </c>
      <c r="E33" s="16"/>
      <c r="F33" s="16"/>
      <c r="G33" s="16"/>
      <c r="H33" s="1"/>
      <c r="I33" s="1"/>
      <c r="J33" s="1"/>
      <c r="K33" s="85"/>
      <c r="L33" s="1"/>
    </row>
    <row r="34" ht="15.75" customHeight="1">
      <c r="A34" s="1"/>
      <c r="B34" s="107" t="s">
        <v>78</v>
      </c>
      <c r="C34" s="20"/>
      <c r="D34" s="19">
        <f>-F48</f>
        <v>-3900</v>
      </c>
      <c r="E34" s="20"/>
      <c r="F34" s="20"/>
      <c r="G34" s="20"/>
      <c r="H34" s="1"/>
      <c r="I34" s="1"/>
      <c r="J34" s="1"/>
      <c r="K34" s="85"/>
      <c r="L34" s="1"/>
    </row>
    <row r="35" ht="15.75" customHeight="1">
      <c r="A35" s="1"/>
      <c r="B35" s="116" t="s">
        <v>27</v>
      </c>
      <c r="C35" s="32"/>
      <c r="D35" s="117">
        <f>SUM(D33,D34)</f>
        <v>1100</v>
      </c>
      <c r="E35" s="32"/>
      <c r="F35" s="32"/>
      <c r="G35" s="32"/>
      <c r="H35" s="1"/>
      <c r="I35" s="1"/>
      <c r="J35" s="1"/>
      <c r="K35" s="85"/>
      <c r="L35" s="1"/>
    </row>
    <row r="36" ht="15.75" customHeight="1">
      <c r="A36" s="1"/>
      <c r="B36" s="84"/>
      <c r="C36" s="1"/>
      <c r="D36" s="1"/>
      <c r="E36" s="1"/>
      <c r="F36" s="1"/>
      <c r="G36" s="1"/>
      <c r="H36" s="1"/>
      <c r="I36" s="1"/>
      <c r="J36" s="1"/>
      <c r="K36" s="85"/>
      <c r="L36" s="1"/>
    </row>
    <row r="37" ht="15.75" customHeight="1">
      <c r="A37" s="1"/>
      <c r="B37" s="84"/>
      <c r="C37" s="1"/>
      <c r="D37" s="1"/>
      <c r="E37" s="1"/>
      <c r="F37" s="1"/>
      <c r="G37" s="1"/>
      <c r="H37" s="1"/>
      <c r="I37" s="1"/>
      <c r="J37" s="1"/>
      <c r="K37" s="85"/>
      <c r="L37" s="1"/>
    </row>
    <row r="38" ht="15.75" customHeight="1">
      <c r="A38" s="1"/>
      <c r="B38" s="87" t="s">
        <v>97</v>
      </c>
      <c r="C38" s="1"/>
      <c r="D38" s="8" t="s">
        <v>29</v>
      </c>
      <c r="E38" s="8" t="s">
        <v>3</v>
      </c>
      <c r="F38" s="8" t="s">
        <v>4</v>
      </c>
      <c r="G38" s="8" t="s">
        <v>8</v>
      </c>
      <c r="H38" s="1"/>
      <c r="I38" s="1"/>
      <c r="J38" s="1"/>
      <c r="K38" s="85"/>
      <c r="L38" s="1"/>
    </row>
    <row r="39" ht="15.75" customHeight="1">
      <c r="A39" s="1"/>
      <c r="B39" s="118" t="s">
        <v>6</v>
      </c>
      <c r="C39" s="37"/>
      <c r="D39" s="38" t="s">
        <v>7</v>
      </c>
      <c r="E39" s="38" t="s">
        <v>7</v>
      </c>
      <c r="F39" s="38" t="s">
        <v>7</v>
      </c>
      <c r="G39" s="37"/>
      <c r="H39" s="1"/>
      <c r="I39" s="1"/>
      <c r="J39" s="1"/>
      <c r="K39" s="85"/>
      <c r="L39" s="1"/>
    </row>
    <row r="40" ht="15.75" customHeight="1">
      <c r="A40" s="1"/>
      <c r="B40" s="110" t="s">
        <v>101</v>
      </c>
      <c r="C40" s="16"/>
      <c r="D40" s="15">
        <v>5000.0</v>
      </c>
      <c r="E40" s="16"/>
      <c r="F40" s="16"/>
      <c r="G40" s="16"/>
      <c r="H40" s="1"/>
      <c r="I40" s="1"/>
      <c r="J40" s="1"/>
      <c r="K40" s="85"/>
      <c r="L40" s="1"/>
    </row>
    <row r="41" ht="15.75" customHeight="1">
      <c r="A41" s="1"/>
      <c r="B41" s="119" t="s">
        <v>27</v>
      </c>
      <c r="C41" s="46"/>
      <c r="D41" s="47">
        <f>D40</f>
        <v>5000</v>
      </c>
      <c r="E41" s="46"/>
      <c r="F41" s="46"/>
      <c r="G41" s="46"/>
      <c r="H41" s="1"/>
      <c r="I41" s="1"/>
      <c r="J41" s="1"/>
      <c r="K41" s="85"/>
      <c r="L41" s="1"/>
    </row>
    <row r="42" ht="15.75" customHeight="1">
      <c r="A42" s="1"/>
      <c r="B42" s="84"/>
      <c r="C42" s="1"/>
      <c r="D42" s="1"/>
      <c r="E42" s="1"/>
      <c r="F42" s="1"/>
      <c r="G42" s="1"/>
      <c r="H42" s="1"/>
      <c r="I42" s="1"/>
      <c r="J42" s="1"/>
      <c r="K42" s="85"/>
      <c r="L42" s="1"/>
    </row>
    <row r="43" ht="15.75" customHeight="1">
      <c r="A43" s="1"/>
      <c r="B43" s="84"/>
      <c r="C43" s="1"/>
      <c r="D43" s="1"/>
      <c r="E43" s="1"/>
      <c r="F43" s="1"/>
      <c r="G43" s="1"/>
      <c r="H43" s="1"/>
      <c r="I43" s="1"/>
      <c r="J43" s="1"/>
      <c r="K43" s="85"/>
      <c r="L43" s="1"/>
    </row>
    <row r="44" ht="15.75" customHeight="1">
      <c r="A44" s="1"/>
      <c r="B44" s="87" t="s">
        <v>78</v>
      </c>
      <c r="C44" s="1"/>
      <c r="D44" s="8" t="s">
        <v>29</v>
      </c>
      <c r="E44" s="1"/>
      <c r="F44" s="1"/>
      <c r="G44" s="8" t="s">
        <v>3</v>
      </c>
      <c r="H44" s="8"/>
      <c r="I44" s="8"/>
      <c r="J44" s="8" t="s">
        <v>4</v>
      </c>
      <c r="K44" s="88" t="s">
        <v>8</v>
      </c>
      <c r="L44" s="1"/>
    </row>
    <row r="45" ht="15.75" customHeight="1">
      <c r="A45" s="1"/>
      <c r="B45" s="98" t="s">
        <v>6</v>
      </c>
      <c r="C45" s="58"/>
      <c r="D45" s="59" t="s">
        <v>38</v>
      </c>
      <c r="E45" s="59" t="s">
        <v>39</v>
      </c>
      <c r="F45" s="59" t="s">
        <v>7</v>
      </c>
      <c r="G45" s="59" t="s">
        <v>38</v>
      </c>
      <c r="H45" s="59" t="s">
        <v>39</v>
      </c>
      <c r="I45" s="59" t="s">
        <v>7</v>
      </c>
      <c r="J45" s="59" t="s">
        <v>7</v>
      </c>
      <c r="K45" s="99"/>
      <c r="L45" s="1"/>
    </row>
    <row r="46" ht="15.75" customHeight="1">
      <c r="A46" s="1"/>
      <c r="B46" s="91" t="s">
        <v>102</v>
      </c>
      <c r="C46" s="16"/>
      <c r="D46" s="49">
        <v>150.0</v>
      </c>
      <c r="E46" s="15">
        <v>25.0</v>
      </c>
      <c r="F46" s="15">
        <f t="shared" ref="F46:F47" si="1">PRODUCT(D46,E46)</f>
        <v>3750</v>
      </c>
      <c r="G46" s="16"/>
      <c r="H46" s="16"/>
      <c r="I46" s="16"/>
      <c r="J46" s="16"/>
      <c r="K46" s="120" t="s">
        <v>103</v>
      </c>
      <c r="L46" s="1"/>
    </row>
    <row r="47" ht="15.75" customHeight="1">
      <c r="A47" s="1"/>
      <c r="B47" s="100" t="s">
        <v>37</v>
      </c>
      <c r="C47" s="62"/>
      <c r="D47" s="63">
        <v>1.0</v>
      </c>
      <c r="E47" s="64">
        <v>150.0</v>
      </c>
      <c r="F47" s="64">
        <f t="shared" si="1"/>
        <v>150</v>
      </c>
      <c r="G47" s="62"/>
      <c r="H47" s="62"/>
      <c r="I47" s="62"/>
      <c r="J47" s="62"/>
      <c r="K47" s="109" t="s">
        <v>104</v>
      </c>
      <c r="L47" s="1"/>
    </row>
    <row r="48" ht="15.75" customHeight="1">
      <c r="A48" s="1"/>
      <c r="B48" s="102" t="s">
        <v>27</v>
      </c>
      <c r="C48" s="104"/>
      <c r="D48" s="104"/>
      <c r="E48" s="104"/>
      <c r="F48" s="103">
        <f>SUM(F46,F47)</f>
        <v>3900</v>
      </c>
      <c r="G48" s="104"/>
      <c r="H48" s="104"/>
      <c r="I48" s="104"/>
      <c r="J48" s="104"/>
      <c r="K48" s="105"/>
      <c r="L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ht="15.75" customHeight="1">
      <c r="A53" s="1"/>
      <c r="B53" s="97" t="s">
        <v>96</v>
      </c>
      <c r="C53" s="82"/>
      <c r="D53" s="82"/>
      <c r="E53" s="82"/>
      <c r="F53" s="82"/>
      <c r="G53" s="82"/>
      <c r="H53" s="82"/>
      <c r="I53" s="82"/>
      <c r="J53" s="82"/>
      <c r="K53" s="83"/>
      <c r="L53" s="1"/>
    </row>
    <row r="54" ht="15.75" customHeight="1">
      <c r="A54" s="1"/>
      <c r="B54" s="84"/>
      <c r="C54" s="1"/>
      <c r="D54" s="1"/>
      <c r="E54" s="1"/>
      <c r="F54" s="1"/>
      <c r="G54" s="1"/>
      <c r="H54" s="1"/>
      <c r="I54" s="1"/>
      <c r="J54" s="1"/>
      <c r="K54" s="85"/>
      <c r="L54" s="1"/>
    </row>
    <row r="55" ht="15.75" customHeight="1">
      <c r="A55" s="1"/>
      <c r="B55" s="87" t="s">
        <v>1</v>
      </c>
      <c r="C55" s="1"/>
      <c r="D55" s="8" t="s">
        <v>29</v>
      </c>
      <c r="E55" s="8" t="s">
        <v>3</v>
      </c>
      <c r="F55" s="8" t="s">
        <v>4</v>
      </c>
      <c r="G55" s="8" t="s">
        <v>8</v>
      </c>
      <c r="H55" s="1"/>
      <c r="I55" s="1"/>
      <c r="J55" s="1"/>
      <c r="K55" s="85"/>
      <c r="L55" s="1"/>
    </row>
    <row r="56" ht="15.75" customHeight="1">
      <c r="A56" s="1"/>
      <c r="B56" s="89" t="s">
        <v>6</v>
      </c>
      <c r="C56" s="29"/>
      <c r="D56" s="30" t="s">
        <v>7</v>
      </c>
      <c r="E56" s="30" t="s">
        <v>7</v>
      </c>
      <c r="F56" s="30" t="s">
        <v>7</v>
      </c>
      <c r="G56" s="29"/>
      <c r="H56" s="1"/>
      <c r="I56" s="1"/>
      <c r="J56" s="1"/>
      <c r="K56" s="85"/>
      <c r="L56" s="1"/>
    </row>
    <row r="57" ht="15.75" customHeight="1">
      <c r="A57" s="1"/>
      <c r="B57" s="91" t="s">
        <v>97</v>
      </c>
      <c r="C57" s="16"/>
      <c r="D57" s="15">
        <f>F66</f>
        <v>5770</v>
      </c>
      <c r="E57" s="16"/>
      <c r="F57" s="16"/>
      <c r="G57" s="16"/>
      <c r="H57" s="1"/>
      <c r="I57" s="1"/>
      <c r="J57" s="1"/>
      <c r="K57" s="85"/>
      <c r="L57" s="1"/>
    </row>
    <row r="58" ht="15.75" customHeight="1">
      <c r="A58" s="1"/>
      <c r="B58" s="107" t="s">
        <v>78</v>
      </c>
      <c r="C58" s="20"/>
      <c r="D58" s="19">
        <f>-F77</f>
        <v>-5750</v>
      </c>
      <c r="E58" s="20"/>
      <c r="F58" s="20"/>
      <c r="G58" s="20"/>
      <c r="H58" s="1"/>
      <c r="I58" s="1"/>
      <c r="J58" s="1"/>
      <c r="K58" s="85"/>
      <c r="L58" s="1"/>
    </row>
    <row r="59" ht="15.75" customHeight="1">
      <c r="A59" s="1"/>
      <c r="B59" s="116" t="s">
        <v>27</v>
      </c>
      <c r="C59" s="32"/>
      <c r="D59" s="33">
        <f>SUM(D57,D58)</f>
        <v>20</v>
      </c>
      <c r="E59" s="32"/>
      <c r="F59" s="32"/>
      <c r="G59" s="32"/>
      <c r="H59" s="1"/>
      <c r="I59" s="1"/>
      <c r="J59" s="1"/>
      <c r="K59" s="85"/>
      <c r="L59" s="1"/>
    </row>
    <row r="60" ht="15.75" customHeight="1">
      <c r="A60" s="1"/>
      <c r="B60" s="121"/>
      <c r="K60" s="122"/>
      <c r="L60" s="1"/>
    </row>
    <row r="61" ht="15.75" customHeight="1">
      <c r="A61" s="1"/>
      <c r="B61" s="87" t="s">
        <v>97</v>
      </c>
      <c r="C61" s="1"/>
      <c r="D61" s="8" t="s">
        <v>29</v>
      </c>
      <c r="E61" s="1"/>
      <c r="F61" s="1"/>
      <c r="G61" s="8" t="s">
        <v>3</v>
      </c>
      <c r="H61" s="1"/>
      <c r="I61" s="1"/>
      <c r="J61" s="8" t="s">
        <v>4</v>
      </c>
      <c r="K61" s="88" t="s">
        <v>8</v>
      </c>
      <c r="L61" s="1"/>
    </row>
    <row r="62" ht="15.75" customHeight="1">
      <c r="A62" s="1"/>
      <c r="B62" s="118" t="s">
        <v>6</v>
      </c>
      <c r="C62" s="37"/>
      <c r="D62" s="38" t="s">
        <v>38</v>
      </c>
      <c r="E62" s="38" t="s">
        <v>39</v>
      </c>
      <c r="F62" s="38" t="s">
        <v>7</v>
      </c>
      <c r="G62" s="38" t="s">
        <v>38</v>
      </c>
      <c r="H62" s="38" t="s">
        <v>39</v>
      </c>
      <c r="I62" s="38" t="s">
        <v>7</v>
      </c>
      <c r="J62" s="38" t="s">
        <v>7</v>
      </c>
      <c r="K62" s="123"/>
      <c r="L62" s="1"/>
    </row>
    <row r="63" ht="15.75" customHeight="1">
      <c r="A63" s="1"/>
      <c r="B63" s="91" t="s">
        <v>105</v>
      </c>
      <c r="C63" s="16"/>
      <c r="D63" s="49">
        <v>230.0</v>
      </c>
      <c r="E63" s="15">
        <v>20.0</v>
      </c>
      <c r="F63" s="15">
        <f t="shared" ref="F63:F65" si="2">PRODUCT(D63:E63)</f>
        <v>4600</v>
      </c>
      <c r="G63" s="16"/>
      <c r="H63" s="16"/>
      <c r="I63" s="16"/>
      <c r="J63" s="16"/>
      <c r="K63" s="92"/>
      <c r="L63" s="1"/>
    </row>
    <row r="64" ht="15.75" customHeight="1">
      <c r="A64" s="1"/>
      <c r="B64" s="124" t="s">
        <v>106</v>
      </c>
      <c r="C64" s="40"/>
      <c r="D64" s="51">
        <v>35.0</v>
      </c>
      <c r="E64" s="43">
        <f>12</f>
        <v>12</v>
      </c>
      <c r="F64" s="43">
        <f t="shared" si="2"/>
        <v>420</v>
      </c>
      <c r="G64" s="40"/>
      <c r="H64" s="40"/>
      <c r="I64" s="40"/>
      <c r="J64" s="40"/>
      <c r="K64" s="125"/>
      <c r="L64" s="1"/>
    </row>
    <row r="65" ht="15.75" customHeight="1">
      <c r="A65" s="1"/>
      <c r="B65" s="91" t="s">
        <v>107</v>
      </c>
      <c r="C65" s="16"/>
      <c r="D65" s="49">
        <v>50.0</v>
      </c>
      <c r="E65" s="15">
        <f>15</f>
        <v>15</v>
      </c>
      <c r="F65" s="15">
        <f t="shared" si="2"/>
        <v>750</v>
      </c>
      <c r="G65" s="16"/>
      <c r="H65" s="16"/>
      <c r="I65" s="16"/>
      <c r="J65" s="16"/>
      <c r="K65" s="92"/>
      <c r="L65" s="1"/>
    </row>
    <row r="66" ht="15.75" customHeight="1">
      <c r="B66" s="119" t="s">
        <v>27</v>
      </c>
      <c r="C66" s="46"/>
      <c r="D66" s="46"/>
      <c r="E66" s="53"/>
      <c r="F66" s="47">
        <f>SUM(F63:F65)</f>
        <v>5770</v>
      </c>
      <c r="G66" s="46"/>
      <c r="H66" s="46"/>
      <c r="I66" s="46"/>
      <c r="J66" s="46"/>
      <c r="K66" s="126"/>
    </row>
    <row r="67" ht="15.75" customHeight="1">
      <c r="B67" s="121"/>
      <c r="K67" s="122"/>
    </row>
    <row r="68" ht="15.75" customHeight="1">
      <c r="B68" s="121"/>
      <c r="K68" s="122"/>
    </row>
    <row r="69" ht="15.75" customHeight="1">
      <c r="B69" s="87" t="s">
        <v>78</v>
      </c>
      <c r="C69" s="1"/>
      <c r="D69" s="8" t="s">
        <v>29</v>
      </c>
      <c r="E69" s="1"/>
      <c r="F69" s="1"/>
      <c r="G69" s="8" t="s">
        <v>3</v>
      </c>
      <c r="H69" s="1"/>
      <c r="I69" s="1"/>
      <c r="J69" s="8" t="s">
        <v>4</v>
      </c>
      <c r="K69" s="88" t="s">
        <v>108</v>
      </c>
    </row>
    <row r="70" ht="15.75" customHeight="1">
      <c r="B70" s="98" t="s">
        <v>6</v>
      </c>
      <c r="C70" s="58"/>
      <c r="D70" s="59" t="s">
        <v>38</v>
      </c>
      <c r="E70" s="59" t="s">
        <v>39</v>
      </c>
      <c r="F70" s="59" t="s">
        <v>7</v>
      </c>
      <c r="G70" s="59" t="s">
        <v>38</v>
      </c>
      <c r="H70" s="59" t="s">
        <v>39</v>
      </c>
      <c r="I70" s="59" t="s">
        <v>7</v>
      </c>
      <c r="J70" s="59" t="s">
        <v>7</v>
      </c>
      <c r="K70" s="99"/>
    </row>
    <row r="71" ht="15.75" customHeight="1">
      <c r="B71" s="91" t="s">
        <v>56</v>
      </c>
      <c r="C71" s="16"/>
      <c r="D71" s="49">
        <v>0.0</v>
      </c>
      <c r="E71" s="15">
        <v>0.0</v>
      </c>
      <c r="F71" s="15">
        <f t="shared" ref="F71:F73" si="3">PRODUCT(D71,E71)</f>
        <v>0</v>
      </c>
      <c r="G71" s="16"/>
      <c r="H71" s="16"/>
      <c r="I71" s="16"/>
      <c r="J71" s="16"/>
      <c r="K71" s="92" t="s">
        <v>109</v>
      </c>
    </row>
    <row r="72" ht="15.75" customHeight="1">
      <c r="B72" s="100" t="s">
        <v>110</v>
      </c>
      <c r="C72" s="62"/>
      <c r="D72" s="63">
        <v>1.0</v>
      </c>
      <c r="E72" s="64">
        <v>700.0</v>
      </c>
      <c r="F72" s="64">
        <f t="shared" si="3"/>
        <v>700</v>
      </c>
      <c r="G72" s="62"/>
      <c r="H72" s="62"/>
      <c r="I72" s="62"/>
      <c r="J72" s="62"/>
      <c r="K72" s="109"/>
    </row>
    <row r="73" ht="15.75" customHeight="1">
      <c r="B73" s="127" t="s">
        <v>111</v>
      </c>
      <c r="C73" s="128"/>
      <c r="D73" s="129">
        <v>1.0</v>
      </c>
      <c r="E73" s="130">
        <v>500.0</v>
      </c>
      <c r="F73" s="130">
        <f t="shared" si="3"/>
        <v>500</v>
      </c>
      <c r="G73" s="128"/>
      <c r="H73" s="128"/>
      <c r="I73" s="128"/>
      <c r="J73" s="128"/>
      <c r="K73" s="131"/>
    </row>
    <row r="74" ht="15.75" customHeight="1">
      <c r="B74" s="100" t="s">
        <v>105</v>
      </c>
      <c r="C74" s="62"/>
      <c r="D74" s="63">
        <v>230.0</v>
      </c>
      <c r="E74" s="64">
        <v>15.0</v>
      </c>
      <c r="F74" s="64">
        <f t="shared" ref="F74:F76" si="4">D74*E74</f>
        <v>3450</v>
      </c>
      <c r="G74" s="62"/>
      <c r="H74" s="62"/>
      <c r="I74" s="62"/>
      <c r="J74" s="62"/>
      <c r="K74" s="109"/>
    </row>
    <row r="75" ht="15.75" customHeight="1">
      <c r="B75" s="127" t="s">
        <v>106</v>
      </c>
      <c r="C75" s="128"/>
      <c r="D75" s="129">
        <v>35.0</v>
      </c>
      <c r="E75" s="130">
        <v>10.0</v>
      </c>
      <c r="F75" s="130">
        <f t="shared" si="4"/>
        <v>350</v>
      </c>
      <c r="G75" s="128"/>
      <c r="H75" s="128"/>
      <c r="I75" s="128"/>
      <c r="J75" s="128"/>
      <c r="K75" s="131"/>
    </row>
    <row r="76" ht="15.75" customHeight="1">
      <c r="B76" s="100" t="s">
        <v>107</v>
      </c>
      <c r="C76" s="62"/>
      <c r="D76" s="63">
        <v>50.0</v>
      </c>
      <c r="E76" s="64">
        <v>15.0</v>
      </c>
      <c r="F76" s="64">
        <f t="shared" si="4"/>
        <v>750</v>
      </c>
      <c r="G76" s="62"/>
      <c r="H76" s="62"/>
      <c r="I76" s="62"/>
      <c r="J76" s="62"/>
      <c r="K76" s="109"/>
    </row>
    <row r="77" ht="15.75" customHeight="1">
      <c r="B77" s="102" t="s">
        <v>27</v>
      </c>
      <c r="C77" s="104"/>
      <c r="D77" s="104"/>
      <c r="E77" s="132"/>
      <c r="F77" s="103">
        <f>SUM(F71:F76)</f>
        <v>5750</v>
      </c>
      <c r="G77" s="104"/>
      <c r="H77" s="104"/>
      <c r="I77" s="104"/>
      <c r="J77" s="104"/>
      <c r="K77" s="105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1">
    <mergeCell ref="B29:C29"/>
  </mergeCells>
  <hyperlinks>
    <hyperlink r:id="rId2" ref="N11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1" max="11" width="23.1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>
      <c r="A3" s="1"/>
      <c r="B3" s="27" t="s">
        <v>19</v>
      </c>
      <c r="C3" s="3"/>
      <c r="D3" s="3"/>
      <c r="E3" s="3"/>
      <c r="F3" s="3"/>
      <c r="G3" s="4"/>
      <c r="H3" s="1"/>
      <c r="I3" s="1"/>
      <c r="J3" s="1"/>
      <c r="K3" s="1"/>
      <c r="L3" s="1"/>
      <c r="M3" s="1"/>
    </row>
    <row r="4" ht="15.75" customHeight="1">
      <c r="A4" s="1"/>
      <c r="B4" s="5"/>
      <c r="C4" s="1"/>
      <c r="D4" s="1"/>
      <c r="E4" s="1"/>
      <c r="F4" s="1"/>
      <c r="G4" s="6"/>
      <c r="H4" s="1"/>
      <c r="I4" s="1"/>
      <c r="J4" s="1"/>
      <c r="K4" s="1"/>
      <c r="L4" s="1"/>
      <c r="M4" s="1"/>
    </row>
    <row r="5" ht="15.75" customHeight="1">
      <c r="A5" s="1"/>
      <c r="B5" s="5"/>
      <c r="C5" s="1"/>
      <c r="D5" s="1"/>
      <c r="E5" s="1"/>
      <c r="F5" s="1"/>
      <c r="G5" s="6"/>
      <c r="H5" s="1"/>
      <c r="I5" s="1"/>
      <c r="J5" s="1"/>
      <c r="K5" s="1"/>
      <c r="L5" s="1"/>
      <c r="M5" s="1"/>
    </row>
    <row r="6" ht="15.75" customHeight="1">
      <c r="A6" s="1"/>
      <c r="B6" s="133" t="s">
        <v>0</v>
      </c>
      <c r="C6" s="1"/>
      <c r="D6" s="1"/>
      <c r="E6" s="1"/>
      <c r="F6" s="1"/>
      <c r="G6" s="6"/>
      <c r="H6" s="1"/>
      <c r="I6" s="1"/>
      <c r="J6" s="1"/>
      <c r="K6" s="1"/>
      <c r="L6" s="1"/>
      <c r="M6" s="1"/>
    </row>
    <row r="7" ht="15.75" customHeight="1">
      <c r="A7" s="1"/>
      <c r="B7" s="5"/>
      <c r="C7" s="1"/>
      <c r="D7" s="1"/>
      <c r="E7" s="1"/>
      <c r="F7" s="1"/>
      <c r="G7" s="6"/>
      <c r="H7" s="1"/>
      <c r="I7" s="1"/>
      <c r="J7" s="1"/>
      <c r="K7" s="1"/>
      <c r="L7" s="1"/>
      <c r="M7" s="1"/>
    </row>
    <row r="8" ht="15.75" customHeight="1">
      <c r="A8" s="1"/>
      <c r="B8" s="7" t="s">
        <v>1</v>
      </c>
      <c r="C8" s="1"/>
      <c r="D8" s="8" t="s">
        <v>29</v>
      </c>
      <c r="E8" s="8" t="s">
        <v>3</v>
      </c>
      <c r="F8" s="8" t="s">
        <v>4</v>
      </c>
      <c r="G8" s="76" t="s">
        <v>8</v>
      </c>
      <c r="H8" s="1"/>
      <c r="I8" s="1"/>
      <c r="J8" s="1"/>
      <c r="K8" s="1"/>
      <c r="L8" s="1"/>
      <c r="M8" s="1"/>
    </row>
    <row r="9" ht="15.75" customHeight="1">
      <c r="A9" s="1"/>
      <c r="B9" s="28" t="s">
        <v>6</v>
      </c>
      <c r="C9" s="29"/>
      <c r="D9" s="30" t="s">
        <v>7</v>
      </c>
      <c r="E9" s="30" t="s">
        <v>7</v>
      </c>
      <c r="F9" s="30" t="s">
        <v>7</v>
      </c>
      <c r="G9" s="134"/>
      <c r="H9" s="1"/>
      <c r="I9" s="1"/>
      <c r="J9" s="1"/>
      <c r="K9" s="1"/>
      <c r="L9" s="1"/>
      <c r="M9" s="1"/>
    </row>
    <row r="10" ht="15.75" customHeight="1">
      <c r="A10" s="1"/>
      <c r="B10" s="14" t="s">
        <v>112</v>
      </c>
      <c r="C10" s="16"/>
      <c r="D10" s="15">
        <f>D23</f>
        <v>-72175</v>
      </c>
      <c r="E10" s="16"/>
      <c r="F10" s="16"/>
      <c r="G10" s="17"/>
      <c r="H10" s="1"/>
      <c r="I10" s="1"/>
      <c r="J10" s="1"/>
      <c r="K10" s="1"/>
      <c r="L10" s="1"/>
      <c r="M10" s="1"/>
    </row>
    <row r="11" ht="15.75" customHeight="1">
      <c r="A11" s="1"/>
      <c r="B11" s="18" t="s">
        <v>113</v>
      </c>
      <c r="C11" s="20"/>
      <c r="D11" s="19">
        <f>D95</f>
        <v>50150</v>
      </c>
      <c r="E11" s="20"/>
      <c r="F11" s="20"/>
      <c r="G11" s="21"/>
      <c r="H11" s="1"/>
      <c r="I11" s="1"/>
      <c r="J11" s="1"/>
      <c r="K11" s="1"/>
      <c r="L11" s="1"/>
      <c r="M11" s="1"/>
    </row>
    <row r="12" ht="15.75" customHeight="1">
      <c r="A12" s="1"/>
      <c r="B12" s="22" t="s">
        <v>27</v>
      </c>
      <c r="C12" s="24"/>
      <c r="D12" s="23">
        <f>SUM(D10:D11)</f>
        <v>-22025</v>
      </c>
      <c r="E12" s="24"/>
      <c r="F12" s="24"/>
      <c r="G12" s="25"/>
      <c r="H12" s="1"/>
      <c r="I12" s="1"/>
      <c r="J12" s="1"/>
      <c r="K12" s="1"/>
      <c r="L12" s="1"/>
      <c r="M12" s="1"/>
    </row>
    <row r="13" ht="15.75" customHeight="1">
      <c r="A13" s="1"/>
      <c r="B13" s="1" t="s">
        <v>97</v>
      </c>
      <c r="C13" s="34">
        <f>D21+D94</f>
        <v>122600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15.75" customHeight="1">
      <c r="A14" s="1"/>
      <c r="B14" s="1" t="s">
        <v>48</v>
      </c>
      <c r="C14" s="34">
        <f>D22+D94</f>
        <v>-218075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ht="15.75" customHeight="1">
      <c r="A17" s="1"/>
      <c r="B17" s="2" t="s">
        <v>114</v>
      </c>
      <c r="C17" s="3"/>
      <c r="D17" s="3"/>
      <c r="E17" s="3"/>
      <c r="F17" s="3"/>
      <c r="G17" s="3"/>
      <c r="H17" s="3"/>
      <c r="I17" s="3"/>
      <c r="J17" s="3"/>
      <c r="K17" s="4"/>
      <c r="L17" s="1"/>
      <c r="M17" s="1"/>
    </row>
    <row r="18" ht="15.75" customHeight="1">
      <c r="A18" s="1"/>
      <c r="B18" s="5"/>
      <c r="C18" s="1"/>
      <c r="D18" s="1"/>
      <c r="E18" s="1"/>
      <c r="F18" s="1"/>
      <c r="G18" s="1"/>
      <c r="H18" s="1"/>
      <c r="I18" s="1"/>
      <c r="J18" s="1"/>
      <c r="K18" s="6"/>
      <c r="L18" s="1"/>
      <c r="M18" s="1"/>
    </row>
    <row r="19" ht="15.75" customHeight="1">
      <c r="A19" s="1"/>
      <c r="B19" s="135" t="s">
        <v>0</v>
      </c>
      <c r="C19" s="1"/>
      <c r="D19" s="8" t="s">
        <v>29</v>
      </c>
      <c r="E19" s="8" t="s">
        <v>3</v>
      </c>
      <c r="F19" s="8" t="s">
        <v>4</v>
      </c>
      <c r="G19" s="8" t="s">
        <v>8</v>
      </c>
      <c r="H19" s="1"/>
      <c r="I19" s="1"/>
      <c r="J19" s="1"/>
      <c r="K19" s="6"/>
      <c r="L19" s="1"/>
      <c r="M19" s="1"/>
    </row>
    <row r="20" ht="15.75" customHeight="1">
      <c r="A20" s="1"/>
      <c r="B20" s="28" t="s">
        <v>6</v>
      </c>
      <c r="C20" s="29"/>
      <c r="D20" s="30" t="s">
        <v>7</v>
      </c>
      <c r="E20" s="30" t="s">
        <v>7</v>
      </c>
      <c r="F20" s="30" t="s">
        <v>7</v>
      </c>
      <c r="G20" s="29"/>
      <c r="H20" s="1"/>
      <c r="I20" s="1"/>
      <c r="J20" s="1"/>
      <c r="K20" s="6"/>
      <c r="L20" s="1"/>
      <c r="M20" s="1"/>
    </row>
    <row r="21" ht="15.75" customHeight="1">
      <c r="A21" s="1"/>
      <c r="B21" s="14" t="s">
        <v>97</v>
      </c>
      <c r="C21" s="16"/>
      <c r="D21" s="15">
        <f>SUM(F35,F43,F52)</f>
        <v>134250</v>
      </c>
      <c r="E21" s="16"/>
      <c r="F21" s="16"/>
      <c r="G21" s="16"/>
      <c r="H21" s="1"/>
      <c r="I21" s="1"/>
      <c r="J21" s="1"/>
      <c r="K21" s="6"/>
      <c r="L21" s="1"/>
      <c r="M21" s="1"/>
    </row>
    <row r="22" ht="15.75" customHeight="1">
      <c r="A22" s="1"/>
      <c r="B22" s="18" t="s">
        <v>48</v>
      </c>
      <c r="C22" s="20"/>
      <c r="D22" s="19">
        <f>SUM(-F66,-F83)</f>
        <v>-206425</v>
      </c>
      <c r="E22" s="20"/>
      <c r="F22" s="20"/>
      <c r="G22" s="20"/>
      <c r="H22" s="1"/>
      <c r="I22" s="1"/>
      <c r="J22" s="1"/>
      <c r="K22" s="6"/>
      <c r="L22" s="1"/>
      <c r="M22" s="1"/>
    </row>
    <row r="23" ht="15.75" customHeight="1">
      <c r="A23" s="1"/>
      <c r="B23" s="31" t="s">
        <v>27</v>
      </c>
      <c r="C23" s="32"/>
      <c r="D23" s="33">
        <f>SUM(D21:D22)</f>
        <v>-72175</v>
      </c>
      <c r="E23" s="32"/>
      <c r="F23" s="32"/>
      <c r="G23" s="32"/>
      <c r="H23" s="1"/>
      <c r="I23" s="1"/>
      <c r="J23" s="1"/>
      <c r="K23" s="6"/>
      <c r="L23" s="1"/>
      <c r="M23" s="1"/>
    </row>
    <row r="24" ht="15.75" customHeight="1">
      <c r="A24" s="1"/>
      <c r="B24" s="5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</row>
    <row r="25" ht="15.75" customHeight="1">
      <c r="A25" s="1"/>
      <c r="B25" s="5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</row>
    <row r="26" ht="15.75" customHeight="1">
      <c r="A26" s="1"/>
      <c r="B26" s="135" t="s">
        <v>115</v>
      </c>
      <c r="C26" s="1"/>
      <c r="D26" s="8" t="s">
        <v>29</v>
      </c>
      <c r="E26" s="1"/>
      <c r="F26" s="1"/>
      <c r="G26" s="8" t="s">
        <v>3</v>
      </c>
      <c r="H26" s="8"/>
      <c r="I26" s="8"/>
      <c r="J26" s="8" t="s">
        <v>4</v>
      </c>
      <c r="K26" s="76" t="s">
        <v>8</v>
      </c>
      <c r="L26" s="1"/>
      <c r="M26" s="1"/>
    </row>
    <row r="27" ht="15.75" customHeight="1">
      <c r="A27" s="1"/>
      <c r="B27" s="36" t="s">
        <v>6</v>
      </c>
      <c r="C27" s="37"/>
      <c r="D27" s="38" t="s">
        <v>38</v>
      </c>
      <c r="E27" s="38" t="s">
        <v>39</v>
      </c>
      <c r="F27" s="38" t="s">
        <v>7</v>
      </c>
      <c r="G27" s="38" t="s">
        <v>38</v>
      </c>
      <c r="H27" s="38" t="s">
        <v>39</v>
      </c>
      <c r="I27" s="38" t="s">
        <v>7</v>
      </c>
      <c r="J27" s="38" t="s">
        <v>7</v>
      </c>
      <c r="K27" s="136"/>
      <c r="L27" s="1"/>
      <c r="M27" s="1"/>
    </row>
    <row r="28" ht="15.75" customHeight="1">
      <c r="A28" s="1"/>
      <c r="B28" s="14" t="s">
        <v>116</v>
      </c>
      <c r="C28" s="16"/>
      <c r="D28" s="49">
        <f>105</f>
        <v>105</v>
      </c>
      <c r="E28" s="50">
        <v>385.0</v>
      </c>
      <c r="F28" s="15">
        <f t="shared" ref="F28:F34" si="1">PRODUCT(D28:E28)</f>
        <v>40425</v>
      </c>
      <c r="G28" s="16"/>
      <c r="H28" s="16"/>
      <c r="I28" s="16"/>
      <c r="J28" s="16"/>
      <c r="K28" s="17" t="s">
        <v>117</v>
      </c>
      <c r="L28" s="137" t="s">
        <v>118</v>
      </c>
      <c r="M28" s="1"/>
    </row>
    <row r="29" ht="15.75" customHeight="1">
      <c r="A29" s="1"/>
      <c r="B29" s="39" t="s">
        <v>119</v>
      </c>
      <c r="C29" s="40"/>
      <c r="D29" s="51">
        <f>10</f>
        <v>10</v>
      </c>
      <c r="E29" s="41">
        <v>385.0</v>
      </c>
      <c r="F29" s="43">
        <f t="shared" si="1"/>
        <v>3850</v>
      </c>
      <c r="G29" s="40"/>
      <c r="H29" s="40"/>
      <c r="I29" s="40"/>
      <c r="J29" s="40"/>
      <c r="K29" s="56"/>
      <c r="L29" s="1"/>
      <c r="M29" s="1"/>
    </row>
    <row r="30" ht="15.75" customHeight="1">
      <c r="A30" s="1"/>
      <c r="B30" s="14" t="s">
        <v>120</v>
      </c>
      <c r="C30" s="16"/>
      <c r="D30" s="49">
        <f t="shared" ref="D30:D31" si="2">5</f>
        <v>5</v>
      </c>
      <c r="E30" s="50">
        <v>360.0</v>
      </c>
      <c r="F30" s="15">
        <f t="shared" si="1"/>
        <v>1800</v>
      </c>
      <c r="G30" s="16"/>
      <c r="H30" s="16"/>
      <c r="I30" s="16"/>
      <c r="J30" s="16"/>
      <c r="K30" s="17"/>
      <c r="L30" s="1"/>
      <c r="M30" s="1"/>
    </row>
    <row r="31" ht="15.75" customHeight="1">
      <c r="A31" s="1"/>
      <c r="B31" s="39" t="s">
        <v>121</v>
      </c>
      <c r="C31" s="40"/>
      <c r="D31" s="51">
        <f t="shared" si="2"/>
        <v>5</v>
      </c>
      <c r="E31" s="41">
        <v>390.0</v>
      </c>
      <c r="F31" s="43">
        <f t="shared" si="1"/>
        <v>1950</v>
      </c>
      <c r="G31" s="40"/>
      <c r="H31" s="40"/>
      <c r="I31" s="40"/>
      <c r="J31" s="40"/>
      <c r="K31" s="56"/>
      <c r="L31" s="1"/>
      <c r="M31" s="1"/>
    </row>
    <row r="32" ht="15.75" customHeight="1">
      <c r="A32" s="1"/>
      <c r="B32" s="14" t="s">
        <v>122</v>
      </c>
      <c r="C32" s="16"/>
      <c r="D32" s="49">
        <f>0</f>
        <v>0</v>
      </c>
      <c r="E32" s="50">
        <v>390.0</v>
      </c>
      <c r="F32" s="15">
        <f t="shared" si="1"/>
        <v>0</v>
      </c>
      <c r="G32" s="16"/>
      <c r="H32" s="16"/>
      <c r="I32" s="16"/>
      <c r="J32" s="16"/>
      <c r="K32" s="17"/>
      <c r="L32" s="1"/>
      <c r="M32" s="1"/>
    </row>
    <row r="33" ht="15.75" customHeight="1">
      <c r="A33" s="1"/>
      <c r="B33" s="39" t="s">
        <v>123</v>
      </c>
      <c r="C33" s="40"/>
      <c r="D33" s="51">
        <f>10</f>
        <v>10</v>
      </c>
      <c r="E33" s="43">
        <f>400</f>
        <v>400</v>
      </c>
      <c r="F33" s="43">
        <f t="shared" si="1"/>
        <v>4000</v>
      </c>
      <c r="G33" s="40"/>
      <c r="H33" s="40"/>
      <c r="I33" s="40"/>
      <c r="J33" s="40"/>
      <c r="K33" s="56"/>
      <c r="L33" s="1"/>
      <c r="M33" s="1"/>
    </row>
    <row r="34" ht="15.75" customHeight="1">
      <c r="A34" s="1"/>
      <c r="B34" s="14" t="s">
        <v>124</v>
      </c>
      <c r="C34" s="16"/>
      <c r="D34" s="49">
        <v>0.0</v>
      </c>
      <c r="E34" s="15">
        <f>0</f>
        <v>0</v>
      </c>
      <c r="F34" s="15">
        <f t="shared" si="1"/>
        <v>0</v>
      </c>
      <c r="G34" s="16"/>
      <c r="H34" s="16"/>
      <c r="I34" s="16"/>
      <c r="J34" s="16"/>
      <c r="K34" s="17"/>
      <c r="L34" s="1"/>
      <c r="M34" s="1"/>
    </row>
    <row r="35" ht="15.75" customHeight="1">
      <c r="A35" s="1"/>
      <c r="B35" s="45" t="s">
        <v>27</v>
      </c>
      <c r="C35" s="46"/>
      <c r="D35" s="46"/>
      <c r="E35" s="53"/>
      <c r="F35" s="47">
        <f>SUM(F28:F34)</f>
        <v>52025</v>
      </c>
      <c r="G35" s="46"/>
      <c r="H35" s="46"/>
      <c r="I35" s="46"/>
      <c r="J35" s="46"/>
      <c r="K35" s="54"/>
      <c r="L35" s="1"/>
      <c r="M35" s="1"/>
    </row>
    <row r="36" ht="15.75" customHeight="1">
      <c r="A36" s="1"/>
      <c r="B36" s="5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</row>
    <row r="37" ht="15.75" customHeight="1">
      <c r="A37" s="1"/>
      <c r="B37" s="5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</row>
    <row r="38" ht="15.75" customHeight="1">
      <c r="A38" s="1"/>
      <c r="B38" s="7" t="s">
        <v>125</v>
      </c>
      <c r="C38" s="1"/>
      <c r="D38" s="8" t="s">
        <v>29</v>
      </c>
      <c r="E38" s="1"/>
      <c r="F38" s="1"/>
      <c r="G38" s="8" t="s">
        <v>3</v>
      </c>
      <c r="H38" s="1"/>
      <c r="I38" s="1"/>
      <c r="J38" s="8" t="s">
        <v>4</v>
      </c>
      <c r="K38" s="76" t="s">
        <v>8</v>
      </c>
      <c r="L38" s="1"/>
      <c r="M38" s="1"/>
    </row>
    <row r="39" ht="15.75" customHeight="1">
      <c r="A39" s="1"/>
      <c r="B39" s="36" t="s">
        <v>6</v>
      </c>
      <c r="C39" s="37"/>
      <c r="D39" s="38" t="s">
        <v>38</v>
      </c>
      <c r="E39" s="38" t="s">
        <v>39</v>
      </c>
      <c r="F39" s="38" t="s">
        <v>7</v>
      </c>
      <c r="G39" s="38" t="s">
        <v>38</v>
      </c>
      <c r="H39" s="38" t="s">
        <v>39</v>
      </c>
      <c r="I39" s="38" t="s">
        <v>7</v>
      </c>
      <c r="J39" s="38" t="s">
        <v>7</v>
      </c>
      <c r="K39" s="136"/>
      <c r="L39" s="1"/>
      <c r="M39" s="1"/>
    </row>
    <row r="40" ht="15.75" customHeight="1">
      <c r="A40" s="1"/>
      <c r="B40" s="14" t="s">
        <v>116</v>
      </c>
      <c r="C40" s="16"/>
      <c r="D40" s="49">
        <f>170</f>
        <v>170</v>
      </c>
      <c r="E40" s="15">
        <f>410</f>
        <v>410</v>
      </c>
      <c r="F40" s="15">
        <f t="shared" ref="F40:F42" si="3">PRODUCT(D40:E40)</f>
        <v>69700</v>
      </c>
      <c r="G40" s="16"/>
      <c r="H40" s="16"/>
      <c r="I40" s="16"/>
      <c r="J40" s="16"/>
      <c r="K40" s="17"/>
      <c r="L40" s="1"/>
      <c r="M40" s="1"/>
    </row>
    <row r="41" ht="15.75" customHeight="1">
      <c r="A41" s="1"/>
      <c r="B41" s="39" t="s">
        <v>119</v>
      </c>
      <c r="C41" s="40"/>
      <c r="D41" s="51">
        <f>0</f>
        <v>0</v>
      </c>
      <c r="E41" s="43">
        <f>385</f>
        <v>385</v>
      </c>
      <c r="F41" s="43">
        <f t="shared" si="3"/>
        <v>0</v>
      </c>
      <c r="G41" s="40"/>
      <c r="H41" s="40"/>
      <c r="I41" s="40"/>
      <c r="J41" s="40"/>
      <c r="K41" s="56"/>
      <c r="L41" s="1"/>
      <c r="M41" s="1"/>
    </row>
    <row r="42" ht="15.75" customHeight="1">
      <c r="A42" s="1"/>
      <c r="B42" s="14" t="s">
        <v>120</v>
      </c>
      <c r="C42" s="16"/>
      <c r="D42" s="49">
        <f>15</f>
        <v>15</v>
      </c>
      <c r="E42" s="15">
        <f>275</f>
        <v>275</v>
      </c>
      <c r="F42" s="15">
        <f t="shared" si="3"/>
        <v>4125</v>
      </c>
      <c r="G42" s="16"/>
      <c r="H42" s="16"/>
      <c r="I42" s="16"/>
      <c r="J42" s="16"/>
      <c r="K42" s="17"/>
      <c r="L42" s="1"/>
      <c r="M42" s="1"/>
    </row>
    <row r="43" ht="15.75" customHeight="1">
      <c r="A43" s="1"/>
      <c r="B43" s="45" t="s">
        <v>27</v>
      </c>
      <c r="C43" s="46"/>
      <c r="D43" s="46"/>
      <c r="E43" s="53"/>
      <c r="F43" s="47">
        <f>SUM(F40:F42)</f>
        <v>73825</v>
      </c>
      <c r="G43" s="46"/>
      <c r="H43" s="46"/>
      <c r="I43" s="46"/>
      <c r="J43" s="46"/>
      <c r="K43" s="54"/>
      <c r="L43" s="1"/>
      <c r="M43" s="1"/>
    </row>
    <row r="44" ht="15.75" customHeight="1">
      <c r="A44" s="1"/>
      <c r="B44" s="5"/>
      <c r="C44" s="1"/>
      <c r="D44" s="1"/>
      <c r="E44" s="1"/>
      <c r="F44" s="1"/>
      <c r="G44" s="1"/>
      <c r="H44" s="1"/>
      <c r="I44" s="1"/>
      <c r="J44" s="1"/>
      <c r="K44" s="6"/>
      <c r="L44" s="1"/>
      <c r="M44" s="1"/>
    </row>
    <row r="45" ht="15.75" customHeight="1">
      <c r="A45" s="1"/>
      <c r="B45" s="5"/>
      <c r="C45" s="1"/>
      <c r="D45" s="1"/>
      <c r="E45" s="1"/>
      <c r="F45" s="1"/>
      <c r="G45" s="1"/>
      <c r="H45" s="1"/>
      <c r="I45" s="1"/>
      <c r="J45" s="1"/>
      <c r="K45" s="6"/>
      <c r="L45" s="1"/>
      <c r="M45" s="1"/>
    </row>
    <row r="46" ht="15.75" customHeight="1">
      <c r="A46" s="1"/>
      <c r="B46" s="135" t="s">
        <v>126</v>
      </c>
      <c r="C46" s="1"/>
      <c r="D46" s="8" t="s">
        <v>29</v>
      </c>
      <c r="E46" s="1"/>
      <c r="F46" s="1"/>
      <c r="G46" s="8" t="s">
        <v>3</v>
      </c>
      <c r="H46" s="1"/>
      <c r="I46" s="1"/>
      <c r="J46" s="8" t="s">
        <v>4</v>
      </c>
      <c r="K46" s="76" t="s">
        <v>8</v>
      </c>
      <c r="L46" s="1"/>
      <c r="M46" s="138"/>
    </row>
    <row r="47" ht="15.75" customHeight="1">
      <c r="A47" s="1"/>
      <c r="B47" s="36" t="s">
        <v>6</v>
      </c>
      <c r="C47" s="37"/>
      <c r="D47" s="38" t="s">
        <v>38</v>
      </c>
      <c r="E47" s="38" t="s">
        <v>39</v>
      </c>
      <c r="F47" s="38" t="s">
        <v>7</v>
      </c>
      <c r="G47" s="38" t="s">
        <v>38</v>
      </c>
      <c r="H47" s="38" t="s">
        <v>39</v>
      </c>
      <c r="I47" s="38" t="s">
        <v>7</v>
      </c>
      <c r="J47" s="38" t="s">
        <v>7</v>
      </c>
      <c r="K47" s="136"/>
      <c r="L47" s="1"/>
      <c r="M47" s="1"/>
    </row>
    <row r="48" ht="15.75" customHeight="1">
      <c r="A48" s="1"/>
      <c r="B48" s="14" t="s">
        <v>127</v>
      </c>
      <c r="C48" s="16"/>
      <c r="D48" s="49">
        <f>150</f>
        <v>150</v>
      </c>
      <c r="E48" s="15">
        <f t="shared" ref="E48:E49" si="4">30</f>
        <v>30</v>
      </c>
      <c r="F48" s="15">
        <f t="shared" ref="F48:F51" si="5">PRODUCT(D48:E48)</f>
        <v>4500</v>
      </c>
      <c r="G48" s="16"/>
      <c r="H48" s="16"/>
      <c r="I48" s="16"/>
      <c r="J48" s="16"/>
      <c r="K48" s="17"/>
      <c r="L48" s="1"/>
      <c r="M48" s="1"/>
    </row>
    <row r="49" ht="15.75" customHeight="1">
      <c r="A49" s="1"/>
      <c r="B49" s="39" t="s">
        <v>128</v>
      </c>
      <c r="C49" s="40"/>
      <c r="D49" s="51">
        <f>120</f>
        <v>120</v>
      </c>
      <c r="E49" s="43">
        <f t="shared" si="4"/>
        <v>30</v>
      </c>
      <c r="F49" s="43">
        <f t="shared" si="5"/>
        <v>3600</v>
      </c>
      <c r="G49" s="40"/>
      <c r="H49" s="40"/>
      <c r="I49" s="40"/>
      <c r="J49" s="40"/>
      <c r="K49" s="56"/>
      <c r="L49" s="1"/>
      <c r="M49" s="1"/>
    </row>
    <row r="50" ht="15.75" customHeight="1">
      <c r="A50" s="1"/>
      <c r="B50" s="14" t="s">
        <v>129</v>
      </c>
      <c r="C50" s="16"/>
      <c r="D50" s="49">
        <f t="shared" ref="D50:D51" si="6">15</f>
        <v>15</v>
      </c>
      <c r="E50" s="15">
        <f t="shared" ref="E50:E51" si="7">10</f>
        <v>10</v>
      </c>
      <c r="F50" s="15">
        <f t="shared" si="5"/>
        <v>150</v>
      </c>
      <c r="G50" s="16"/>
      <c r="H50" s="16"/>
      <c r="I50" s="16"/>
      <c r="J50" s="16"/>
      <c r="K50" s="17" t="s">
        <v>130</v>
      </c>
      <c r="L50" s="1"/>
      <c r="M50" s="1"/>
    </row>
    <row r="51" ht="15.75" customHeight="1">
      <c r="A51" s="1"/>
      <c r="B51" s="39" t="s">
        <v>131</v>
      </c>
      <c r="C51" s="40"/>
      <c r="D51" s="51">
        <f t="shared" si="6"/>
        <v>15</v>
      </c>
      <c r="E51" s="43">
        <f t="shared" si="7"/>
        <v>10</v>
      </c>
      <c r="F51" s="43">
        <f t="shared" si="5"/>
        <v>150</v>
      </c>
      <c r="G51" s="40"/>
      <c r="H51" s="40"/>
      <c r="I51" s="40"/>
      <c r="J51" s="40"/>
      <c r="K51" s="56" t="s">
        <v>130</v>
      </c>
      <c r="L51" s="1"/>
      <c r="M51" s="1"/>
    </row>
    <row r="52" ht="15.75" customHeight="1">
      <c r="A52" s="1"/>
      <c r="B52" s="45" t="s">
        <v>27</v>
      </c>
      <c r="C52" s="46"/>
      <c r="D52" s="46"/>
      <c r="E52" s="53"/>
      <c r="F52" s="47">
        <f>SUM(F48:F51)</f>
        <v>8400</v>
      </c>
      <c r="G52" s="46"/>
      <c r="H52" s="46"/>
      <c r="I52" s="46"/>
      <c r="J52" s="46"/>
      <c r="K52" s="54"/>
      <c r="L52" s="1"/>
      <c r="M52" s="1"/>
    </row>
    <row r="53" ht="15.75" customHeight="1">
      <c r="A53" s="1"/>
      <c r="B53" s="5"/>
      <c r="C53" s="1"/>
      <c r="D53" s="1"/>
      <c r="E53" s="1"/>
      <c r="F53" s="1"/>
      <c r="G53" s="1"/>
      <c r="H53" s="1"/>
      <c r="I53" s="1"/>
      <c r="J53" s="1"/>
      <c r="K53" s="6"/>
      <c r="L53" s="1"/>
      <c r="M53" s="1"/>
    </row>
    <row r="54" ht="15.75" customHeight="1">
      <c r="A54" s="1"/>
      <c r="B54" s="5"/>
      <c r="C54" s="1"/>
      <c r="D54" s="1"/>
      <c r="E54" s="1"/>
      <c r="F54" s="1"/>
      <c r="G54" s="1"/>
      <c r="H54" s="1"/>
      <c r="I54" s="1"/>
      <c r="J54" s="1"/>
      <c r="K54" s="6"/>
      <c r="L54" s="1"/>
      <c r="M54" s="1"/>
    </row>
    <row r="55" ht="15.75" customHeight="1">
      <c r="A55" s="1"/>
      <c r="B55" s="135" t="s">
        <v>132</v>
      </c>
      <c r="C55" s="1"/>
      <c r="D55" s="8" t="s">
        <v>29</v>
      </c>
      <c r="E55" s="1"/>
      <c r="F55" s="1"/>
      <c r="G55" s="8" t="s">
        <v>3</v>
      </c>
      <c r="H55" s="1"/>
      <c r="I55" s="1"/>
      <c r="J55" s="8" t="s">
        <v>4</v>
      </c>
      <c r="K55" s="76" t="s">
        <v>8</v>
      </c>
      <c r="L55" s="1"/>
      <c r="M55" s="1"/>
    </row>
    <row r="56" ht="15.75" customHeight="1">
      <c r="A56" s="1"/>
      <c r="B56" s="57" t="s">
        <v>6</v>
      </c>
      <c r="C56" s="58"/>
      <c r="D56" s="59" t="s">
        <v>38</v>
      </c>
      <c r="E56" s="59" t="s">
        <v>39</v>
      </c>
      <c r="F56" s="59" t="s">
        <v>7</v>
      </c>
      <c r="G56" s="59" t="s">
        <v>38</v>
      </c>
      <c r="H56" s="59" t="s">
        <v>39</v>
      </c>
      <c r="I56" s="59" t="s">
        <v>7</v>
      </c>
      <c r="J56" s="59" t="s">
        <v>7</v>
      </c>
      <c r="K56" s="77"/>
      <c r="L56" s="1"/>
      <c r="M56" s="1"/>
    </row>
    <row r="57" ht="15.75" customHeight="1">
      <c r="A57" s="1"/>
      <c r="B57" s="14" t="s">
        <v>133</v>
      </c>
      <c r="C57" s="16"/>
      <c r="D57" s="139">
        <v>1.0</v>
      </c>
      <c r="E57" s="15">
        <v>15000.0</v>
      </c>
      <c r="F57" s="15">
        <v>15000.0</v>
      </c>
      <c r="G57" s="16"/>
      <c r="H57" s="16"/>
      <c r="I57" s="16"/>
      <c r="J57" s="16"/>
      <c r="K57" s="17" t="s">
        <v>134</v>
      </c>
      <c r="L57" s="1"/>
      <c r="M57" s="1"/>
    </row>
    <row r="58" ht="15.75" customHeight="1">
      <c r="A58" s="1"/>
      <c r="B58" s="61" t="s">
        <v>135</v>
      </c>
      <c r="C58" s="62"/>
      <c r="D58" s="140">
        <v>1.0</v>
      </c>
      <c r="E58" s="64">
        <v>10000.0</v>
      </c>
      <c r="F58" s="64">
        <f t="shared" ref="F58:F65" si="8">PRODUCT(D58:E58)</f>
        <v>10000</v>
      </c>
      <c r="G58" s="62"/>
      <c r="H58" s="62"/>
      <c r="I58" s="62"/>
      <c r="J58" s="62"/>
      <c r="K58" s="65" t="s">
        <v>136</v>
      </c>
      <c r="L58" s="1"/>
      <c r="M58" s="1"/>
      <c r="N58" s="65"/>
    </row>
    <row r="59" ht="15.75" customHeight="1">
      <c r="A59" s="1"/>
      <c r="B59" s="14" t="s">
        <v>137</v>
      </c>
      <c r="C59" s="16"/>
      <c r="D59" s="139">
        <v>1.0</v>
      </c>
      <c r="E59" s="15">
        <v>2000.0</v>
      </c>
      <c r="F59" s="15">
        <f t="shared" si="8"/>
        <v>2000</v>
      </c>
      <c r="G59" s="16"/>
      <c r="H59" s="16"/>
      <c r="I59" s="16"/>
      <c r="J59" s="16"/>
      <c r="K59" s="17" t="s">
        <v>138</v>
      </c>
      <c r="L59" s="1"/>
      <c r="M59" s="1"/>
      <c r="N59" s="17"/>
    </row>
    <row r="60" ht="15.75" customHeight="1">
      <c r="A60" s="1"/>
      <c r="B60" s="61" t="s">
        <v>139</v>
      </c>
      <c r="C60" s="62"/>
      <c r="D60" s="140">
        <v>1.0</v>
      </c>
      <c r="E60" s="64">
        <v>6000.0</v>
      </c>
      <c r="F60" s="64">
        <f t="shared" si="8"/>
        <v>6000</v>
      </c>
      <c r="G60" s="62"/>
      <c r="H60" s="62"/>
      <c r="I60" s="62"/>
      <c r="J60" s="62"/>
      <c r="K60" s="65" t="s">
        <v>140</v>
      </c>
      <c r="L60" s="1"/>
      <c r="M60" s="1"/>
      <c r="N60" s="65"/>
    </row>
    <row r="61" ht="15.75" customHeight="1">
      <c r="A61" s="1"/>
      <c r="B61" s="14" t="s">
        <v>141</v>
      </c>
      <c r="C61" s="16"/>
      <c r="D61" s="139">
        <v>1.0</v>
      </c>
      <c r="E61" s="15">
        <v>10000.0</v>
      </c>
      <c r="F61" s="15">
        <f t="shared" si="8"/>
        <v>10000</v>
      </c>
      <c r="G61" s="16"/>
      <c r="H61" s="16"/>
      <c r="I61" s="16"/>
      <c r="J61" s="16"/>
      <c r="K61" s="17" t="s">
        <v>142</v>
      </c>
      <c r="L61" s="1"/>
      <c r="M61" s="1"/>
      <c r="N61" s="17" t="s">
        <v>143</v>
      </c>
    </row>
    <row r="62" ht="15.75" customHeight="1">
      <c r="A62" s="1"/>
      <c r="B62" s="61" t="s">
        <v>144</v>
      </c>
      <c r="C62" s="62"/>
      <c r="D62" s="140">
        <v>4.0</v>
      </c>
      <c r="E62" s="64">
        <v>250.0</v>
      </c>
      <c r="F62" s="64">
        <f t="shared" si="8"/>
        <v>1000</v>
      </c>
      <c r="G62" s="62"/>
      <c r="H62" s="62"/>
      <c r="I62" s="62"/>
      <c r="J62" s="62"/>
      <c r="K62" s="65" t="s">
        <v>145</v>
      </c>
      <c r="L62" s="1"/>
      <c r="M62" s="1"/>
      <c r="N62" s="65"/>
    </row>
    <row r="63" ht="15.75" customHeight="1">
      <c r="A63" s="1"/>
      <c r="B63" s="141" t="s">
        <v>146</v>
      </c>
      <c r="C63" s="128"/>
      <c r="D63" s="142">
        <v>1.0</v>
      </c>
      <c r="E63" s="130">
        <v>2600.0</v>
      </c>
      <c r="F63" s="130">
        <f t="shared" si="8"/>
        <v>2600</v>
      </c>
      <c r="G63" s="128"/>
      <c r="H63" s="128"/>
      <c r="I63" s="128"/>
      <c r="J63" s="128"/>
      <c r="K63" s="143" t="s">
        <v>147</v>
      </c>
      <c r="L63" s="1"/>
      <c r="M63" s="1">
        <v>500.0</v>
      </c>
      <c r="N63" s="143" t="s">
        <v>148</v>
      </c>
    </row>
    <row r="64" ht="15.75" customHeight="1">
      <c r="A64" s="1"/>
      <c r="B64" s="69" t="s">
        <v>149</v>
      </c>
      <c r="C64" s="62"/>
      <c r="D64" s="140">
        <v>1.0</v>
      </c>
      <c r="E64" s="64">
        <v>1600.0</v>
      </c>
      <c r="F64" s="64">
        <f t="shared" si="8"/>
        <v>1600</v>
      </c>
      <c r="G64" s="62"/>
      <c r="H64" s="62"/>
      <c r="I64" s="62"/>
      <c r="J64" s="62"/>
      <c r="K64" s="65"/>
      <c r="L64" s="1"/>
      <c r="M64" s="1"/>
      <c r="N64" s="65" t="s">
        <v>150</v>
      </c>
    </row>
    <row r="65" ht="15.75" customHeight="1">
      <c r="A65" s="1"/>
      <c r="B65" s="144" t="s">
        <v>37</v>
      </c>
      <c r="C65" s="128"/>
      <c r="D65" s="142">
        <v>1.0</v>
      </c>
      <c r="E65" s="130">
        <v>1500.0</v>
      </c>
      <c r="F65" s="130">
        <f t="shared" si="8"/>
        <v>1500</v>
      </c>
      <c r="G65" s="128"/>
      <c r="H65" s="128"/>
      <c r="I65" s="128"/>
      <c r="J65" s="128"/>
      <c r="K65" s="143"/>
      <c r="L65" s="1"/>
      <c r="M65" s="1"/>
    </row>
    <row r="66" ht="15.75" customHeight="1">
      <c r="A66" s="1"/>
      <c r="B66" s="145" t="s">
        <v>27</v>
      </c>
      <c r="C66" s="146"/>
      <c r="D66" s="146"/>
      <c r="E66" s="147"/>
      <c r="F66" s="148">
        <f>SUM(F57:F65)</f>
        <v>49700</v>
      </c>
      <c r="G66" s="146"/>
      <c r="H66" s="146"/>
      <c r="I66" s="146"/>
      <c r="J66" s="146"/>
      <c r="K66" s="149"/>
      <c r="L66" s="1"/>
      <c r="M66" s="1"/>
    </row>
    <row r="67" ht="15.75" customHeight="1">
      <c r="A67" s="1"/>
      <c r="B67" s="5"/>
      <c r="C67" s="1"/>
      <c r="D67" s="1"/>
      <c r="E67" s="1"/>
      <c r="F67" s="1"/>
      <c r="G67" s="1"/>
      <c r="H67" s="1"/>
      <c r="I67" s="1"/>
      <c r="J67" s="1"/>
      <c r="K67" s="6"/>
      <c r="L67" s="1"/>
      <c r="M67" s="1"/>
    </row>
    <row r="68" ht="15.75" customHeight="1">
      <c r="A68" s="1"/>
      <c r="B68" s="5"/>
      <c r="C68" s="1"/>
      <c r="D68" s="1"/>
      <c r="E68" s="1"/>
      <c r="F68" s="1"/>
      <c r="G68" s="1"/>
      <c r="H68" s="1"/>
      <c r="I68" s="1"/>
      <c r="J68" s="1"/>
      <c r="K68" s="6"/>
      <c r="L68" s="1"/>
      <c r="M68" s="1"/>
    </row>
    <row r="69" ht="15.75" customHeight="1">
      <c r="A69" s="1"/>
      <c r="B69" s="135" t="s">
        <v>151</v>
      </c>
      <c r="C69" s="1"/>
      <c r="D69" s="8" t="s">
        <v>29</v>
      </c>
      <c r="E69" s="1"/>
      <c r="F69" s="1"/>
      <c r="G69" s="8" t="s">
        <v>3</v>
      </c>
      <c r="H69" s="1"/>
      <c r="I69" s="1"/>
      <c r="J69" s="8" t="s">
        <v>4</v>
      </c>
      <c r="K69" s="76" t="s">
        <v>8</v>
      </c>
      <c r="L69" s="1"/>
      <c r="M69" s="1"/>
    </row>
    <row r="70" ht="15.75" customHeight="1">
      <c r="A70" s="1"/>
      <c r="B70" s="57" t="s">
        <v>6</v>
      </c>
      <c r="C70" s="58"/>
      <c r="D70" s="59" t="s">
        <v>38</v>
      </c>
      <c r="E70" s="59" t="s">
        <v>39</v>
      </c>
      <c r="F70" s="59" t="s">
        <v>7</v>
      </c>
      <c r="G70" s="59" t="s">
        <v>38</v>
      </c>
      <c r="H70" s="59" t="s">
        <v>39</v>
      </c>
      <c r="I70" s="59" t="s">
        <v>7</v>
      </c>
      <c r="J70" s="59" t="s">
        <v>7</v>
      </c>
      <c r="K70" s="77"/>
      <c r="L70" s="1"/>
      <c r="M70" s="1"/>
    </row>
    <row r="71" ht="15.75" customHeight="1">
      <c r="A71" s="1"/>
      <c r="B71" s="14" t="s">
        <v>152</v>
      </c>
      <c r="C71" s="16"/>
      <c r="D71" s="49">
        <f>SUM(D40,D41,D42,D28,D29,D30,D31,D32,D33,D34)</f>
        <v>320</v>
      </c>
      <c r="E71" s="15">
        <v>240.0</v>
      </c>
      <c r="F71" s="15">
        <f t="shared" ref="F71:F82" si="9">PRODUCT(D71:E71)</f>
        <v>76800</v>
      </c>
      <c r="G71" s="16"/>
      <c r="H71" s="16"/>
      <c r="I71" s="16"/>
      <c r="J71" s="16"/>
      <c r="K71" s="17" t="s">
        <v>153</v>
      </c>
      <c r="L71" s="1"/>
      <c r="M71" s="1"/>
      <c r="N71" s="17" t="s">
        <v>154</v>
      </c>
    </row>
    <row r="72" ht="15.75" customHeight="1">
      <c r="A72" s="1"/>
      <c r="B72" s="61" t="s">
        <v>105</v>
      </c>
      <c r="C72" s="62"/>
      <c r="D72" s="63">
        <f>SUM(D40,D28,D31,D33)</f>
        <v>290</v>
      </c>
      <c r="E72" s="64">
        <v>100.0</v>
      </c>
      <c r="F72" s="64">
        <f t="shared" si="9"/>
        <v>29000</v>
      </c>
      <c r="G72" s="62"/>
      <c r="H72" s="62"/>
      <c r="I72" s="62"/>
      <c r="J72" s="62"/>
      <c r="K72" s="65" t="s">
        <v>155</v>
      </c>
      <c r="L72" s="1"/>
      <c r="M72" s="1"/>
      <c r="N72" s="65" t="s">
        <v>156</v>
      </c>
    </row>
    <row r="73" ht="15.75" customHeight="1">
      <c r="A73" s="1"/>
      <c r="B73" s="14" t="s">
        <v>157</v>
      </c>
      <c r="C73" s="16"/>
      <c r="D73" s="49">
        <f>SUM(D41,D34,D32,D29)</f>
        <v>10</v>
      </c>
      <c r="E73" s="15">
        <v>100.0</v>
      </c>
      <c r="F73" s="15">
        <f t="shared" si="9"/>
        <v>1000</v>
      </c>
      <c r="G73" s="16"/>
      <c r="H73" s="16"/>
      <c r="I73" s="16"/>
      <c r="J73" s="16"/>
      <c r="K73" s="17" t="s">
        <v>158</v>
      </c>
      <c r="L73" s="1"/>
      <c r="M73" s="1"/>
      <c r="N73" s="17" t="s">
        <v>159</v>
      </c>
    </row>
    <row r="74" ht="15.75" customHeight="1">
      <c r="A74" s="1"/>
      <c r="B74" s="61" t="s">
        <v>106</v>
      </c>
      <c r="C74" s="62"/>
      <c r="D74" s="63">
        <f>SUM(D42,D30)</f>
        <v>20</v>
      </c>
      <c r="E74" s="64">
        <v>35.0</v>
      </c>
      <c r="F74" s="64">
        <f t="shared" si="9"/>
        <v>700</v>
      </c>
      <c r="G74" s="62"/>
      <c r="H74" s="62"/>
      <c r="I74" s="62"/>
      <c r="J74" s="62"/>
      <c r="K74" s="65" t="s">
        <v>160</v>
      </c>
      <c r="L74" s="1"/>
      <c r="M74" s="1"/>
      <c r="N74" s="65"/>
    </row>
    <row r="75" ht="15.75" customHeight="1">
      <c r="A75" s="1"/>
      <c r="B75" s="44" t="s">
        <v>161</v>
      </c>
      <c r="C75" s="16"/>
      <c r="D75" s="49">
        <v>20.0</v>
      </c>
      <c r="E75" s="15">
        <v>240.0</v>
      </c>
      <c r="F75" s="15">
        <f t="shared" si="9"/>
        <v>4800</v>
      </c>
      <c r="G75" s="16"/>
      <c r="H75" s="16"/>
      <c r="I75" s="16"/>
      <c r="J75" s="16"/>
      <c r="K75" s="17" t="s">
        <v>162</v>
      </c>
      <c r="L75" s="1"/>
      <c r="M75" s="1"/>
      <c r="N75" s="17"/>
    </row>
    <row r="76" ht="15.75" customHeight="1">
      <c r="A76" s="1"/>
      <c r="B76" s="61" t="s">
        <v>163</v>
      </c>
      <c r="C76" s="62"/>
      <c r="D76" s="63">
        <v>390.0</v>
      </c>
      <c r="E76" s="64">
        <v>30.0</v>
      </c>
      <c r="F76" s="64">
        <f t="shared" si="9"/>
        <v>11700</v>
      </c>
      <c r="G76" s="62"/>
      <c r="H76" s="62"/>
      <c r="I76" s="64"/>
      <c r="J76" s="62"/>
      <c r="K76" s="65" t="s">
        <v>164</v>
      </c>
      <c r="L76" s="1"/>
      <c r="M76" s="1"/>
      <c r="N76" s="65"/>
    </row>
    <row r="77" ht="15.75" customHeight="1">
      <c r="A77" s="1"/>
      <c r="B77" s="14" t="s">
        <v>165</v>
      </c>
      <c r="C77" s="16"/>
      <c r="D77" s="49">
        <v>365.0</v>
      </c>
      <c r="E77" s="15">
        <v>15.0</v>
      </c>
      <c r="F77" s="15">
        <f t="shared" si="9"/>
        <v>5475</v>
      </c>
      <c r="G77" s="16"/>
      <c r="H77" s="16"/>
      <c r="I77" s="16"/>
      <c r="J77" s="16"/>
      <c r="K77" s="17" t="s">
        <v>166</v>
      </c>
      <c r="L77" s="1"/>
      <c r="M77" s="1"/>
      <c r="N77" s="17"/>
    </row>
    <row r="78" ht="15.75" customHeight="1">
      <c r="A78" s="1"/>
      <c r="B78" s="61" t="s">
        <v>167</v>
      </c>
      <c r="C78" s="62"/>
      <c r="D78" s="63">
        <f>D71</f>
        <v>320</v>
      </c>
      <c r="E78" s="64">
        <v>50.0</v>
      </c>
      <c r="F78" s="64">
        <f t="shared" si="9"/>
        <v>16000</v>
      </c>
      <c r="G78" s="62"/>
      <c r="H78" s="62"/>
      <c r="I78" s="62"/>
      <c r="J78" s="62"/>
      <c r="K78" s="65" t="s">
        <v>168</v>
      </c>
      <c r="L78" s="1"/>
      <c r="M78" s="1"/>
      <c r="N78" s="65"/>
    </row>
    <row r="79" ht="15.75" customHeight="1">
      <c r="A79" s="1"/>
      <c r="B79" s="14" t="s">
        <v>128</v>
      </c>
      <c r="C79" s="16"/>
      <c r="D79" s="49">
        <v>11.0</v>
      </c>
      <c r="E79" s="15">
        <v>450.0</v>
      </c>
      <c r="F79" s="15">
        <f t="shared" si="9"/>
        <v>4950</v>
      </c>
      <c r="G79" s="16"/>
      <c r="H79" s="16"/>
      <c r="I79" s="16"/>
      <c r="J79" s="16"/>
      <c r="K79" s="150" t="s">
        <v>169</v>
      </c>
      <c r="L79" s="1">
        <f>15*350</f>
        <v>5250</v>
      </c>
      <c r="M79" s="1"/>
      <c r="N79" s="150" t="s">
        <v>170</v>
      </c>
    </row>
    <row r="80" ht="15.75" customHeight="1">
      <c r="A80" s="1"/>
      <c r="B80" s="61" t="s">
        <v>127</v>
      </c>
      <c r="C80" s="62"/>
      <c r="D80" s="63">
        <v>15.0</v>
      </c>
      <c r="E80" s="64">
        <v>400.0</v>
      </c>
      <c r="F80" s="64">
        <f t="shared" si="9"/>
        <v>6000</v>
      </c>
      <c r="G80" s="62"/>
      <c r="H80" s="62"/>
      <c r="I80" s="62"/>
      <c r="J80" s="62"/>
      <c r="K80" s="65" t="s">
        <v>171</v>
      </c>
      <c r="L80" s="1"/>
      <c r="M80" s="1"/>
      <c r="N80" s="65"/>
    </row>
    <row r="81" ht="15.75" customHeight="1">
      <c r="A81" s="1"/>
      <c r="B81" s="14" t="s">
        <v>131</v>
      </c>
      <c r="C81" s="16"/>
      <c r="D81" s="49">
        <f>D51</f>
        <v>15</v>
      </c>
      <c r="E81" s="15">
        <v>10.0</v>
      </c>
      <c r="F81" s="15">
        <f t="shared" si="9"/>
        <v>150</v>
      </c>
      <c r="G81" s="16"/>
      <c r="H81" s="16"/>
      <c r="I81" s="16"/>
      <c r="J81" s="16"/>
      <c r="K81" s="17" t="s">
        <v>172</v>
      </c>
      <c r="L81" s="1"/>
      <c r="M81" s="1"/>
      <c r="N81" s="17" t="s">
        <v>173</v>
      </c>
    </row>
    <row r="82" ht="15.75" customHeight="1">
      <c r="A82" s="1"/>
      <c r="B82" s="61" t="s">
        <v>129</v>
      </c>
      <c r="C82" s="62"/>
      <c r="D82" s="63">
        <f>D50</f>
        <v>15</v>
      </c>
      <c r="E82" s="64">
        <v>10.0</v>
      </c>
      <c r="F82" s="64">
        <f t="shared" si="9"/>
        <v>150</v>
      </c>
      <c r="G82" s="62"/>
      <c r="H82" s="62"/>
      <c r="I82" s="62"/>
      <c r="J82" s="62"/>
      <c r="K82" s="65" t="s">
        <v>174</v>
      </c>
      <c r="L82" s="1"/>
      <c r="M82" s="1"/>
    </row>
    <row r="83" ht="15.75" customHeight="1">
      <c r="A83" s="1"/>
      <c r="B83" s="70" t="s">
        <v>27</v>
      </c>
      <c r="C83" s="71"/>
      <c r="D83" s="71"/>
      <c r="E83" s="72"/>
      <c r="F83" s="73">
        <f>SUM(F71:F82)</f>
        <v>156725</v>
      </c>
      <c r="G83" s="71"/>
      <c r="H83" s="71"/>
      <c r="I83" s="71"/>
      <c r="J83" s="71"/>
      <c r="K83" s="74"/>
      <c r="L83" s="1"/>
      <c r="M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ht="15.75" customHeight="1">
      <c r="A89" s="1"/>
      <c r="B89" s="151" t="s">
        <v>113</v>
      </c>
      <c r="C89" s="3"/>
      <c r="D89" s="3"/>
      <c r="E89" s="3"/>
      <c r="F89" s="3"/>
      <c r="G89" s="3"/>
      <c r="H89" s="3"/>
      <c r="I89" s="3"/>
      <c r="J89" s="3"/>
      <c r="K89" s="4"/>
      <c r="L89" s="1"/>
      <c r="M89" s="1"/>
    </row>
    <row r="90" ht="15.75" customHeight="1">
      <c r="A90" s="1"/>
      <c r="B90" s="5"/>
      <c r="C90" s="1"/>
      <c r="D90" s="1"/>
      <c r="E90" s="1"/>
      <c r="F90" s="1"/>
      <c r="G90" s="1"/>
      <c r="H90" s="1"/>
      <c r="I90" s="1"/>
      <c r="J90" s="1"/>
      <c r="K90" s="6"/>
      <c r="L90" s="1"/>
      <c r="M90" s="1"/>
    </row>
    <row r="91" ht="15.75" customHeight="1">
      <c r="A91" s="1"/>
      <c r="B91" s="135" t="s">
        <v>0</v>
      </c>
      <c r="C91" s="1"/>
      <c r="D91" s="8" t="s">
        <v>29</v>
      </c>
      <c r="E91" s="8" t="s">
        <v>3</v>
      </c>
      <c r="F91" s="8" t="s">
        <v>4</v>
      </c>
      <c r="G91" s="8" t="s">
        <v>8</v>
      </c>
      <c r="H91" s="1"/>
      <c r="I91" s="1"/>
      <c r="J91" s="1"/>
      <c r="K91" s="6"/>
      <c r="L91" s="1"/>
      <c r="M91" s="1"/>
    </row>
    <row r="92" ht="15.75" customHeight="1">
      <c r="A92" s="1"/>
      <c r="B92" s="28" t="s">
        <v>6</v>
      </c>
      <c r="C92" s="29"/>
      <c r="D92" s="30" t="s">
        <v>7</v>
      </c>
      <c r="E92" s="30" t="s">
        <v>7</v>
      </c>
      <c r="F92" s="30" t="s">
        <v>7</v>
      </c>
      <c r="G92" s="29"/>
      <c r="H92" s="1"/>
      <c r="I92" s="1"/>
      <c r="J92" s="1"/>
      <c r="K92" s="6"/>
      <c r="L92" s="1"/>
      <c r="M92" s="1"/>
    </row>
    <row r="93" ht="15.75" customHeight="1">
      <c r="A93" s="1"/>
      <c r="B93" s="14" t="s">
        <v>97</v>
      </c>
      <c r="C93" s="16"/>
      <c r="D93" s="15">
        <f>F106</f>
        <v>61800</v>
      </c>
      <c r="E93" s="16"/>
      <c r="F93" s="16"/>
      <c r="G93" s="16"/>
      <c r="H93" s="1"/>
      <c r="I93" s="1"/>
      <c r="J93" s="1"/>
      <c r="K93" s="6"/>
      <c r="L93" s="1"/>
      <c r="M93" s="1"/>
    </row>
    <row r="94" ht="15.75" customHeight="1">
      <c r="A94" s="1"/>
      <c r="B94" s="18" t="s">
        <v>48</v>
      </c>
      <c r="C94" s="20"/>
      <c r="D94" s="19">
        <f>SUM(-E127,-F138)</f>
        <v>-11650</v>
      </c>
      <c r="E94" s="20"/>
      <c r="F94" s="20"/>
      <c r="G94" s="20"/>
      <c r="H94" s="1"/>
      <c r="I94" s="1"/>
      <c r="J94" s="1"/>
      <c r="K94" s="6"/>
      <c r="L94" s="1"/>
      <c r="M94" s="1"/>
    </row>
    <row r="95" ht="15.75" customHeight="1">
      <c r="A95" s="1"/>
      <c r="B95" s="31" t="s">
        <v>27</v>
      </c>
      <c r="C95" s="32"/>
      <c r="D95" s="33">
        <f>SUM(D93:D94)</f>
        <v>50150</v>
      </c>
      <c r="E95" s="32"/>
      <c r="F95" s="32"/>
      <c r="G95" s="32"/>
      <c r="H95" s="1"/>
      <c r="I95" s="1"/>
      <c r="J95" s="1"/>
      <c r="K95" s="6"/>
      <c r="L95" s="1"/>
      <c r="M95" s="1"/>
    </row>
    <row r="96" ht="15.75" customHeight="1">
      <c r="A96" s="1"/>
      <c r="B96" s="5"/>
      <c r="C96" s="1"/>
      <c r="D96" s="1"/>
      <c r="E96" s="1"/>
      <c r="F96" s="1"/>
      <c r="G96" s="1"/>
      <c r="H96" s="1"/>
      <c r="I96" s="1"/>
      <c r="J96" s="1"/>
      <c r="K96" s="6"/>
      <c r="L96" s="1"/>
      <c r="M96" s="1"/>
    </row>
    <row r="97" ht="15.75" customHeight="1">
      <c r="A97" s="1"/>
      <c r="B97" s="5"/>
      <c r="C97" s="1"/>
      <c r="D97" s="1"/>
      <c r="E97" s="1"/>
      <c r="F97" s="1"/>
      <c r="G97" s="1"/>
      <c r="H97" s="1"/>
      <c r="I97" s="1"/>
      <c r="J97" s="1"/>
      <c r="K97" s="6"/>
      <c r="L97" s="1"/>
      <c r="M97" s="1"/>
    </row>
    <row r="98" ht="15.75" customHeight="1">
      <c r="A98" s="1"/>
      <c r="B98" s="7" t="s">
        <v>97</v>
      </c>
      <c r="C98" s="1"/>
      <c r="D98" s="8" t="s">
        <v>29</v>
      </c>
      <c r="E98" s="1"/>
      <c r="F98" s="1"/>
      <c r="G98" s="8" t="s">
        <v>3</v>
      </c>
      <c r="H98" s="1"/>
      <c r="I98" s="1"/>
      <c r="J98" s="8" t="s">
        <v>4</v>
      </c>
      <c r="K98" s="76" t="s">
        <v>8</v>
      </c>
      <c r="L98" s="1"/>
      <c r="M98" s="1"/>
    </row>
    <row r="99" ht="15.75" customHeight="1">
      <c r="A99" s="1"/>
      <c r="B99" s="36" t="s">
        <v>6</v>
      </c>
      <c r="C99" s="37"/>
      <c r="D99" s="38" t="s">
        <v>38</v>
      </c>
      <c r="E99" s="38" t="s">
        <v>39</v>
      </c>
      <c r="F99" s="38" t="s">
        <v>7</v>
      </c>
      <c r="G99" s="38" t="s">
        <v>38</v>
      </c>
      <c r="H99" s="38" t="s">
        <v>39</v>
      </c>
      <c r="I99" s="38" t="s">
        <v>7</v>
      </c>
      <c r="J99" s="38" t="s">
        <v>7</v>
      </c>
      <c r="K99" s="136"/>
      <c r="L99" s="1"/>
      <c r="M99" s="1"/>
    </row>
    <row r="100" ht="15.75" customHeight="1">
      <c r="A100" s="1"/>
      <c r="B100" s="44" t="s">
        <v>175</v>
      </c>
      <c r="C100" s="16"/>
      <c r="D100" s="152">
        <v>40.0</v>
      </c>
      <c r="E100" s="15">
        <v>120.0</v>
      </c>
      <c r="F100" s="15">
        <f t="shared" ref="F100:F105" si="10">PRODUCT(D100:E100)</f>
        <v>4800</v>
      </c>
      <c r="G100" s="16"/>
      <c r="H100" s="16"/>
      <c r="I100" s="16"/>
      <c r="J100" s="16"/>
      <c r="K100" s="17"/>
      <c r="L100" s="1"/>
      <c r="M100" s="1"/>
    </row>
    <row r="101" ht="15.75" customHeight="1">
      <c r="A101" s="1"/>
      <c r="B101" s="39" t="s">
        <v>176</v>
      </c>
      <c r="C101" s="40"/>
      <c r="D101" s="153">
        <v>40.0</v>
      </c>
      <c r="E101" s="43">
        <v>150.0</v>
      </c>
      <c r="F101" s="43">
        <f t="shared" si="10"/>
        <v>6000</v>
      </c>
      <c r="G101" s="40"/>
      <c r="H101" s="40"/>
      <c r="I101" s="40"/>
      <c r="J101" s="40"/>
      <c r="K101" s="56"/>
      <c r="L101" s="43">
        <v>200.0</v>
      </c>
      <c r="M101" s="1"/>
    </row>
    <row r="102" ht="15.75" customHeight="1">
      <c r="A102" s="1"/>
      <c r="B102" s="14" t="s">
        <v>177</v>
      </c>
      <c r="C102" s="16"/>
      <c r="D102" s="49">
        <v>240.0</v>
      </c>
      <c r="E102" s="15">
        <v>0.0</v>
      </c>
      <c r="F102" s="15">
        <f t="shared" si="10"/>
        <v>0</v>
      </c>
      <c r="G102" s="16"/>
      <c r="H102" s="16"/>
      <c r="I102" s="16"/>
      <c r="J102" s="16"/>
      <c r="K102" s="17"/>
      <c r="L102" s="15">
        <v>20.0</v>
      </c>
      <c r="M102" s="1"/>
    </row>
    <row r="103" ht="15.75" customHeight="1">
      <c r="A103" s="1"/>
      <c r="B103" s="39" t="s">
        <v>178</v>
      </c>
      <c r="C103" s="40"/>
      <c r="D103" s="51">
        <v>180.0</v>
      </c>
      <c r="E103" s="43">
        <v>0.0</v>
      </c>
      <c r="F103" s="43">
        <f t="shared" si="10"/>
        <v>0</v>
      </c>
      <c r="G103" s="40"/>
      <c r="H103" s="40"/>
      <c r="I103" s="40"/>
      <c r="J103" s="40"/>
      <c r="K103" s="56"/>
      <c r="L103" s="43">
        <v>10.0</v>
      </c>
      <c r="M103" s="1"/>
    </row>
    <row r="104" ht="15.75" customHeight="1">
      <c r="A104" s="1"/>
      <c r="B104" s="14" t="s">
        <v>179</v>
      </c>
      <c r="C104" s="16"/>
      <c r="D104" s="49">
        <v>1.0</v>
      </c>
      <c r="E104" s="15">
        <v>5000.0</v>
      </c>
      <c r="F104" s="15">
        <f t="shared" si="10"/>
        <v>5000</v>
      </c>
      <c r="G104" s="16"/>
      <c r="H104" s="16"/>
      <c r="I104" s="16"/>
      <c r="J104" s="16"/>
      <c r="K104" s="17"/>
      <c r="L104" s="15">
        <v>5000.0</v>
      </c>
      <c r="M104" s="1"/>
    </row>
    <row r="105" ht="15.75" customHeight="1">
      <c r="A105" s="1"/>
      <c r="B105" s="39" t="s">
        <v>180</v>
      </c>
      <c r="C105" s="40"/>
      <c r="D105" s="51">
        <v>1.0</v>
      </c>
      <c r="E105" s="43">
        <v>46000.0</v>
      </c>
      <c r="F105" s="43">
        <f t="shared" si="10"/>
        <v>46000</v>
      </c>
      <c r="G105" s="40"/>
      <c r="H105" s="40"/>
      <c r="I105" s="40"/>
      <c r="J105" s="40"/>
      <c r="K105" s="56"/>
      <c r="L105" s="43">
        <v>65000.0</v>
      </c>
      <c r="M105" s="1"/>
    </row>
    <row r="106" ht="15.75" customHeight="1">
      <c r="A106" s="1"/>
      <c r="B106" s="45" t="s">
        <v>27</v>
      </c>
      <c r="C106" s="46"/>
      <c r="D106" s="46"/>
      <c r="E106" s="53"/>
      <c r="F106" s="47">
        <f>SUM(F100:F105)</f>
        <v>61800</v>
      </c>
      <c r="G106" s="46"/>
      <c r="H106" s="46"/>
      <c r="I106" s="46"/>
      <c r="J106" s="46"/>
      <c r="K106" s="54"/>
      <c r="L106" s="1"/>
      <c r="M106" s="1"/>
    </row>
    <row r="107" ht="15.75" customHeight="1">
      <c r="A107" s="1"/>
      <c r="B107" s="5"/>
      <c r="C107" s="1"/>
      <c r="D107" s="1"/>
      <c r="E107" s="1"/>
      <c r="F107" s="1"/>
      <c r="G107" s="1"/>
      <c r="H107" s="1"/>
      <c r="I107" s="1"/>
      <c r="J107" s="1"/>
      <c r="K107" s="6"/>
      <c r="L107" s="1"/>
      <c r="M107" s="1"/>
    </row>
    <row r="108" ht="15.75" customHeight="1">
      <c r="A108" s="1"/>
      <c r="B108" s="5"/>
      <c r="C108" s="1"/>
      <c r="D108" s="1"/>
      <c r="E108" s="1"/>
      <c r="F108" s="1"/>
      <c r="G108" s="1"/>
      <c r="H108" s="1"/>
      <c r="I108" s="1"/>
      <c r="J108" s="1"/>
      <c r="K108" s="6"/>
      <c r="L108" s="1"/>
      <c r="M108" s="1"/>
    </row>
    <row r="109" ht="15.75" customHeight="1">
      <c r="A109" s="1"/>
      <c r="B109" s="135" t="s">
        <v>132</v>
      </c>
      <c r="C109" s="1"/>
      <c r="D109" s="8" t="s">
        <v>29</v>
      </c>
      <c r="E109" s="8" t="s">
        <v>3</v>
      </c>
      <c r="F109" s="8" t="s">
        <v>4</v>
      </c>
      <c r="G109" s="8" t="s">
        <v>8</v>
      </c>
      <c r="H109" s="1"/>
      <c r="I109" s="1"/>
      <c r="J109" s="1"/>
      <c r="K109" s="6"/>
      <c r="L109" s="1"/>
      <c r="M109" s="1"/>
    </row>
    <row r="110" ht="15.75" customHeight="1">
      <c r="A110" s="1"/>
      <c r="B110" s="57" t="s">
        <v>6</v>
      </c>
      <c r="C110" s="58"/>
      <c r="D110" s="59" t="s">
        <v>7</v>
      </c>
      <c r="E110" s="59" t="s">
        <v>7</v>
      </c>
      <c r="F110" s="59" t="s">
        <v>7</v>
      </c>
      <c r="G110" s="58"/>
      <c r="H110" s="1"/>
      <c r="I110" s="1"/>
      <c r="J110" s="1"/>
      <c r="K110" s="6"/>
      <c r="L110" s="1"/>
      <c r="M110" s="1"/>
    </row>
    <row r="111" ht="15.75" customHeight="1">
      <c r="A111" s="1"/>
      <c r="B111" s="44" t="s">
        <v>181</v>
      </c>
      <c r="C111" s="16"/>
      <c r="D111" s="15">
        <v>4700.0</v>
      </c>
      <c r="E111" s="16">
        <v>0.0</v>
      </c>
      <c r="F111" s="16"/>
      <c r="G111" s="154" t="s">
        <v>182</v>
      </c>
      <c r="H111" s="1"/>
      <c r="I111" s="1"/>
      <c r="J111" s="1"/>
      <c r="K111" s="6"/>
      <c r="L111" s="1"/>
      <c r="M111" s="1"/>
    </row>
    <row r="112" ht="15.75" customHeight="1">
      <c r="A112" s="1"/>
      <c r="B112" s="61" t="s">
        <v>135</v>
      </c>
      <c r="C112" s="62"/>
      <c r="D112" s="64">
        <v>3750.0</v>
      </c>
      <c r="E112" s="62">
        <v>0.0</v>
      </c>
      <c r="F112" s="62"/>
      <c r="G112" s="62"/>
      <c r="H112" s="1"/>
      <c r="I112" s="1"/>
      <c r="J112" s="1"/>
      <c r="K112" s="6"/>
      <c r="L112" s="1"/>
      <c r="M112" s="1"/>
    </row>
    <row r="113" ht="15.75" customHeight="1">
      <c r="A113" s="1"/>
      <c r="B113" s="44" t="s">
        <v>183</v>
      </c>
      <c r="C113" s="16"/>
      <c r="D113" s="15">
        <v>2000.0</v>
      </c>
      <c r="E113" s="16">
        <v>0.0</v>
      </c>
      <c r="F113" s="16"/>
      <c r="G113" s="16"/>
      <c r="H113" s="1"/>
      <c r="I113" s="1"/>
      <c r="J113" s="1"/>
      <c r="K113" s="6"/>
      <c r="L113" s="1"/>
      <c r="M113" s="1"/>
    </row>
    <row r="114" ht="15.75" customHeight="1">
      <c r="A114" s="1"/>
      <c r="B114" s="61" t="s">
        <v>184</v>
      </c>
      <c r="C114" s="62"/>
      <c r="D114" s="64">
        <v>1000.0</v>
      </c>
      <c r="E114" s="62">
        <v>0.0</v>
      </c>
      <c r="F114" s="62"/>
      <c r="G114" s="62"/>
      <c r="H114" s="1"/>
      <c r="I114" s="1"/>
      <c r="J114" s="1"/>
      <c r="K114" s="6"/>
      <c r="L114" s="1"/>
      <c r="M114" s="1"/>
    </row>
    <row r="115" ht="15.75" customHeight="1">
      <c r="A115" s="1"/>
      <c r="B115" s="14" t="s">
        <v>185</v>
      </c>
      <c r="C115" s="16"/>
      <c r="D115" s="15">
        <v>1000.0</v>
      </c>
      <c r="E115" s="16">
        <v>0.0</v>
      </c>
      <c r="F115" s="16"/>
      <c r="G115" s="16"/>
      <c r="H115" s="1"/>
      <c r="I115" s="1"/>
      <c r="J115" s="1"/>
      <c r="K115" s="6"/>
      <c r="L115" s="1"/>
      <c r="M115" s="1"/>
    </row>
    <row r="116" ht="15.75" customHeight="1">
      <c r="A116" s="1"/>
      <c r="B116" s="61" t="s">
        <v>186</v>
      </c>
      <c r="C116" s="62"/>
      <c r="D116" s="64">
        <v>3000.0</v>
      </c>
      <c r="E116" s="62">
        <v>0.0</v>
      </c>
      <c r="F116" s="62"/>
      <c r="G116" s="62" t="s">
        <v>187</v>
      </c>
      <c r="H116" s="1"/>
      <c r="I116" s="1"/>
      <c r="J116" s="1"/>
      <c r="K116" s="6"/>
      <c r="L116" s="1"/>
      <c r="M116" s="1"/>
    </row>
    <row r="117" ht="15.75" customHeight="1">
      <c r="A117" s="1"/>
      <c r="B117" s="44" t="s">
        <v>188</v>
      </c>
      <c r="C117" s="16"/>
      <c r="D117" s="15">
        <v>2200.0</v>
      </c>
      <c r="E117" s="16">
        <v>1800.0</v>
      </c>
      <c r="F117" s="16"/>
      <c r="G117" s="16"/>
      <c r="H117" s="1"/>
      <c r="I117" s="1"/>
      <c r="J117" s="1"/>
      <c r="K117" s="6"/>
      <c r="L117" s="1"/>
      <c r="M117" s="1"/>
    </row>
    <row r="118" ht="15.75" customHeight="1">
      <c r="A118" s="1"/>
      <c r="B118" s="61" t="s">
        <v>189</v>
      </c>
      <c r="C118" s="62"/>
      <c r="D118" s="64">
        <v>2000.0</v>
      </c>
      <c r="E118" s="62">
        <v>0.0</v>
      </c>
      <c r="F118" s="62"/>
      <c r="G118" s="62"/>
      <c r="H118" s="1"/>
      <c r="I118" s="1"/>
      <c r="J118" s="1"/>
      <c r="K118" s="6"/>
      <c r="L118" s="1"/>
      <c r="M118" s="1"/>
    </row>
    <row r="119" ht="15.75" customHeight="1">
      <c r="A119" s="1"/>
      <c r="B119" s="14" t="s">
        <v>190</v>
      </c>
      <c r="C119" s="16"/>
      <c r="D119" s="15">
        <v>0.0</v>
      </c>
      <c r="E119" s="16">
        <v>9250.0</v>
      </c>
      <c r="F119" s="16"/>
      <c r="G119" s="16" t="s">
        <v>191</v>
      </c>
      <c r="H119" s="1"/>
      <c r="I119" s="1"/>
      <c r="J119" s="1"/>
      <c r="K119" s="6"/>
      <c r="L119" s="1"/>
      <c r="M119" s="1"/>
    </row>
    <row r="120" ht="15.75" customHeight="1">
      <c r="A120" s="1"/>
      <c r="B120" s="69" t="s">
        <v>192</v>
      </c>
      <c r="C120" s="62"/>
      <c r="D120" s="64">
        <v>11250.0</v>
      </c>
      <c r="E120" s="62">
        <v>0.0</v>
      </c>
      <c r="F120" s="62"/>
      <c r="G120" s="155" t="s">
        <v>193</v>
      </c>
      <c r="H120" s="1"/>
      <c r="I120" s="1"/>
      <c r="J120" s="1"/>
      <c r="K120" s="6"/>
      <c r="L120" s="1"/>
      <c r="M120" s="1"/>
    </row>
    <row r="121" ht="15.75" customHeight="1">
      <c r="A121" s="1"/>
      <c r="B121" s="44" t="s">
        <v>194</v>
      </c>
      <c r="C121" s="16"/>
      <c r="D121" s="15">
        <v>4000.0</v>
      </c>
      <c r="E121" s="16">
        <v>0.0</v>
      </c>
      <c r="F121" s="16"/>
      <c r="G121" s="16"/>
      <c r="H121" s="1"/>
      <c r="I121" s="1"/>
      <c r="J121" s="1"/>
      <c r="K121" s="6"/>
      <c r="L121" s="1"/>
      <c r="M121" s="1"/>
    </row>
    <row r="122" ht="15.75" customHeight="1">
      <c r="A122" s="1"/>
      <c r="B122" s="61" t="s">
        <v>195</v>
      </c>
      <c r="C122" s="62"/>
      <c r="D122" s="64">
        <v>500.0</v>
      </c>
      <c r="E122" s="62">
        <v>500.0</v>
      </c>
      <c r="F122" s="62"/>
      <c r="G122" s="156" t="s">
        <v>196</v>
      </c>
      <c r="H122" s="1"/>
      <c r="I122" s="1"/>
      <c r="J122" s="1"/>
      <c r="K122" s="6"/>
      <c r="L122" s="1"/>
      <c r="M122" s="1"/>
    </row>
    <row r="123" ht="15.75" customHeight="1">
      <c r="A123" s="1"/>
      <c r="B123" s="14" t="s">
        <v>141</v>
      </c>
      <c r="C123" s="16"/>
      <c r="D123" s="15">
        <v>38000.0</v>
      </c>
      <c r="E123" s="16">
        <v>0.0</v>
      </c>
      <c r="F123" s="16"/>
      <c r="G123" s="16"/>
      <c r="H123" s="1"/>
      <c r="I123" s="1"/>
      <c r="J123" s="1"/>
      <c r="K123" s="6"/>
      <c r="L123" s="1"/>
      <c r="M123" s="1"/>
    </row>
    <row r="124" ht="15.75" customHeight="1">
      <c r="A124" s="1"/>
      <c r="B124" s="61" t="s">
        <v>197</v>
      </c>
      <c r="C124" s="62"/>
      <c r="D124" s="64">
        <v>4000.0</v>
      </c>
      <c r="E124" s="62">
        <v>0.0</v>
      </c>
      <c r="F124" s="62"/>
      <c r="G124" s="62"/>
      <c r="H124" s="1"/>
      <c r="I124" s="1"/>
      <c r="J124" s="1"/>
      <c r="K124" s="6"/>
      <c r="L124" s="1"/>
      <c r="M124" s="1"/>
    </row>
    <row r="125" ht="15.75" customHeight="1">
      <c r="A125" s="1"/>
      <c r="B125" s="44" t="s">
        <v>198</v>
      </c>
      <c r="C125" s="16"/>
      <c r="D125" s="15">
        <v>4000.0</v>
      </c>
      <c r="E125" s="16">
        <v>0.0</v>
      </c>
      <c r="F125" s="16"/>
      <c r="G125" s="157" t="s">
        <v>199</v>
      </c>
      <c r="H125" s="1"/>
      <c r="I125" s="1"/>
      <c r="J125" s="1"/>
      <c r="K125" s="6"/>
      <c r="L125" s="1"/>
      <c r="M125" s="1"/>
    </row>
    <row r="126" ht="15.75" customHeight="1">
      <c r="A126" s="1"/>
      <c r="B126" s="61" t="s">
        <v>37</v>
      </c>
      <c r="C126" s="62"/>
      <c r="D126" s="64">
        <v>100.0</v>
      </c>
      <c r="E126" s="62">
        <v>100.0</v>
      </c>
      <c r="F126" s="62"/>
      <c r="G126" s="62"/>
      <c r="H126" s="1"/>
      <c r="I126" s="1"/>
      <c r="J126" s="1"/>
      <c r="K126" s="6"/>
      <c r="L126" s="1"/>
      <c r="M126" s="1"/>
    </row>
    <row r="127" ht="15.75" customHeight="1">
      <c r="A127" s="1"/>
      <c r="B127" s="145" t="s">
        <v>27</v>
      </c>
      <c r="C127" s="146"/>
      <c r="D127" s="148">
        <f t="shared" ref="D127:E127" si="11">SUM(D111:D126)</f>
        <v>81500</v>
      </c>
      <c r="E127" s="148">
        <f t="shared" si="11"/>
        <v>11650</v>
      </c>
      <c r="F127" s="146"/>
      <c r="G127" s="146"/>
      <c r="H127" s="1"/>
      <c r="I127" s="1"/>
      <c r="J127" s="1"/>
      <c r="K127" s="6"/>
      <c r="L127" s="1"/>
      <c r="M127" s="1"/>
    </row>
    <row r="128" ht="15.75" customHeight="1">
      <c r="A128" s="1"/>
      <c r="B128" s="5"/>
      <c r="C128" s="1"/>
      <c r="D128" s="1"/>
      <c r="E128" s="1"/>
      <c r="F128" s="1"/>
      <c r="G128" s="1"/>
      <c r="H128" s="1"/>
      <c r="I128" s="1"/>
      <c r="J128" s="1"/>
      <c r="K128" s="6"/>
      <c r="L128" s="1"/>
      <c r="M128" s="1"/>
    </row>
    <row r="129" ht="15.75" customHeight="1">
      <c r="A129" s="1"/>
      <c r="B129" s="5"/>
      <c r="C129" s="1"/>
      <c r="D129" s="1"/>
      <c r="E129" s="1"/>
      <c r="F129" s="1"/>
      <c r="G129" s="1"/>
      <c r="H129" s="1"/>
      <c r="I129" s="1"/>
      <c r="J129" s="1"/>
      <c r="K129" s="6"/>
      <c r="L129" s="1"/>
      <c r="M129" s="1"/>
    </row>
    <row r="130" ht="15.75" customHeight="1">
      <c r="A130" s="1"/>
      <c r="B130" s="135" t="s">
        <v>151</v>
      </c>
      <c r="C130" s="1"/>
      <c r="D130" s="8" t="s">
        <v>29</v>
      </c>
      <c r="E130" s="1"/>
      <c r="F130" s="1"/>
      <c r="G130" s="8" t="s">
        <v>3</v>
      </c>
      <c r="H130" s="1"/>
      <c r="I130" s="1"/>
      <c r="J130" s="8" t="s">
        <v>4</v>
      </c>
      <c r="K130" s="76" t="s">
        <v>8</v>
      </c>
      <c r="L130" s="1"/>
      <c r="M130" s="1"/>
    </row>
    <row r="131" ht="15.75" customHeight="1">
      <c r="A131" s="1"/>
      <c r="B131" s="57" t="s">
        <v>6</v>
      </c>
      <c r="C131" s="58"/>
      <c r="D131" s="59" t="s">
        <v>38</v>
      </c>
      <c r="E131" s="59" t="s">
        <v>39</v>
      </c>
      <c r="F131" s="59" t="s">
        <v>7</v>
      </c>
      <c r="G131" s="59" t="s">
        <v>38</v>
      </c>
      <c r="H131" s="59" t="s">
        <v>39</v>
      </c>
      <c r="I131" s="59" t="s">
        <v>7</v>
      </c>
      <c r="J131" s="59" t="s">
        <v>7</v>
      </c>
      <c r="K131" s="77"/>
      <c r="L131" s="1"/>
      <c r="M131" s="1"/>
    </row>
    <row r="132" ht="15.75" customHeight="1">
      <c r="A132" s="1"/>
      <c r="B132" s="14" t="s">
        <v>200</v>
      </c>
      <c r="C132" s="16"/>
      <c r="D132" s="49">
        <v>110.0</v>
      </c>
      <c r="E132" s="15">
        <v>0.0</v>
      </c>
      <c r="F132" s="15">
        <f t="shared" ref="F132:F134" si="12">PRODUCT(D132:E132)</f>
        <v>0</v>
      </c>
      <c r="G132" s="16"/>
      <c r="H132" s="16"/>
      <c r="I132" s="16"/>
      <c r="J132" s="16"/>
      <c r="K132" s="17"/>
      <c r="L132" s="1"/>
      <c r="M132" s="1"/>
    </row>
    <row r="133" ht="15.75" customHeight="1">
      <c r="A133" s="1"/>
      <c r="B133" s="61" t="s">
        <v>177</v>
      </c>
      <c r="C133" s="62"/>
      <c r="D133" s="63">
        <v>60.0</v>
      </c>
      <c r="E133" s="64">
        <v>0.0</v>
      </c>
      <c r="F133" s="64">
        <f t="shared" si="12"/>
        <v>0</v>
      </c>
      <c r="G133" s="62"/>
      <c r="H133" s="62"/>
      <c r="I133" s="62"/>
      <c r="J133" s="62"/>
      <c r="K133" s="65"/>
      <c r="L133" s="1"/>
      <c r="M133" s="1"/>
    </row>
    <row r="134" ht="15.75" customHeight="1">
      <c r="A134" s="1"/>
      <c r="B134" s="14" t="s">
        <v>178</v>
      </c>
      <c r="C134" s="16"/>
      <c r="D134" s="49">
        <v>180.0</v>
      </c>
      <c r="E134" s="15">
        <v>0.0</v>
      </c>
      <c r="F134" s="15">
        <f t="shared" si="12"/>
        <v>0</v>
      </c>
      <c r="G134" s="16"/>
      <c r="H134" s="16"/>
      <c r="I134" s="16"/>
      <c r="J134" s="16"/>
      <c r="K134" s="17"/>
      <c r="L134" s="1"/>
      <c r="M134" s="1"/>
    </row>
    <row r="135" ht="15.75" customHeight="1">
      <c r="A135" s="1"/>
      <c r="B135" s="61" t="s">
        <v>201</v>
      </c>
      <c r="C135" s="62"/>
      <c r="D135" s="63">
        <v>1.0</v>
      </c>
      <c r="E135" s="64">
        <v>6000.0</v>
      </c>
      <c r="F135" s="64">
        <v>0.0</v>
      </c>
      <c r="G135" s="62"/>
      <c r="H135" s="62"/>
      <c r="I135" s="62"/>
      <c r="J135" s="62"/>
      <c r="K135" s="65"/>
      <c r="L135" s="1"/>
      <c r="M135" s="1"/>
    </row>
    <row r="136" ht="15.75" customHeight="1">
      <c r="A136" s="1"/>
      <c r="B136" s="14" t="s">
        <v>202</v>
      </c>
      <c r="C136" s="16"/>
      <c r="D136" s="49">
        <f t="shared" ref="D136:D137" si="13">1</f>
        <v>1</v>
      </c>
      <c r="E136" s="15">
        <v>30000.0</v>
      </c>
      <c r="F136" s="15">
        <v>0.0</v>
      </c>
      <c r="G136" s="16"/>
      <c r="H136" s="16"/>
      <c r="I136" s="16"/>
      <c r="J136" s="16"/>
      <c r="K136" s="17"/>
      <c r="L136" s="1"/>
      <c r="M136" s="1"/>
    </row>
    <row r="137" ht="15.75" customHeight="1">
      <c r="A137" s="1"/>
      <c r="B137" s="61" t="s">
        <v>203</v>
      </c>
      <c r="C137" s="62"/>
      <c r="D137" s="63">
        <f t="shared" si="13"/>
        <v>1</v>
      </c>
      <c r="E137" s="64">
        <v>6000.0</v>
      </c>
      <c r="F137" s="64">
        <v>0.0</v>
      </c>
      <c r="G137" s="62"/>
      <c r="H137" s="62"/>
      <c r="I137" s="62"/>
      <c r="J137" s="62"/>
      <c r="K137" s="65"/>
      <c r="L137" s="1"/>
      <c r="M137" s="1"/>
    </row>
    <row r="138" ht="15.75" customHeight="1">
      <c r="A138" s="1"/>
      <c r="B138" s="70" t="s">
        <v>27</v>
      </c>
      <c r="C138" s="71"/>
      <c r="D138" s="71"/>
      <c r="E138" s="72"/>
      <c r="F138" s="73">
        <f>SUM(F132:F137)</f>
        <v>0</v>
      </c>
      <c r="G138" s="71"/>
      <c r="H138" s="71"/>
      <c r="I138" s="71"/>
      <c r="J138" s="71"/>
      <c r="K138" s="74"/>
      <c r="L138" s="1"/>
      <c r="M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>
      <c r="A3" s="1"/>
      <c r="B3" s="81" t="s">
        <v>16</v>
      </c>
      <c r="C3" s="82"/>
      <c r="D3" s="82"/>
      <c r="E3" s="82"/>
      <c r="F3" s="82"/>
      <c r="G3" s="83"/>
      <c r="H3" s="1"/>
      <c r="I3" s="1"/>
      <c r="J3" s="1"/>
      <c r="K3" s="1"/>
      <c r="L3" s="1"/>
      <c r="M3" s="1"/>
    </row>
    <row r="4" ht="15.75" customHeight="1">
      <c r="A4" s="1"/>
      <c r="B4" s="84"/>
      <c r="C4" s="1"/>
      <c r="D4" s="1"/>
      <c r="E4" s="1"/>
      <c r="F4" s="1"/>
      <c r="G4" s="85"/>
      <c r="H4" s="1"/>
      <c r="I4" s="1"/>
      <c r="J4" s="1"/>
      <c r="K4" s="1"/>
      <c r="L4" s="1"/>
      <c r="M4" s="1"/>
    </row>
    <row r="5" ht="15.75" customHeight="1">
      <c r="A5" s="1"/>
      <c r="B5" s="84"/>
      <c r="C5" s="1"/>
      <c r="D5" s="1"/>
      <c r="E5" s="1"/>
      <c r="F5" s="1"/>
      <c r="G5" s="85"/>
      <c r="H5" s="1"/>
      <c r="I5" s="1"/>
      <c r="J5" s="1"/>
      <c r="K5" s="1"/>
      <c r="L5" s="1"/>
      <c r="M5" s="1"/>
    </row>
    <row r="6" ht="15.75" customHeight="1">
      <c r="A6" s="1"/>
      <c r="B6" s="86" t="s">
        <v>0</v>
      </c>
      <c r="C6" s="1"/>
      <c r="D6" s="1"/>
      <c r="E6" s="1"/>
      <c r="F6" s="1"/>
      <c r="G6" s="85"/>
      <c r="H6" s="1"/>
      <c r="I6" s="1"/>
      <c r="J6" s="1"/>
      <c r="K6" s="1"/>
      <c r="L6" s="1"/>
      <c r="M6" s="1"/>
    </row>
    <row r="7" ht="15.75" customHeight="1">
      <c r="A7" s="1"/>
      <c r="B7" s="84"/>
      <c r="C7" s="1"/>
      <c r="D7" s="1"/>
      <c r="E7" s="1"/>
      <c r="F7" s="1"/>
      <c r="G7" s="85"/>
      <c r="H7" s="1"/>
      <c r="I7" s="1"/>
      <c r="J7" s="1"/>
      <c r="K7" s="1"/>
      <c r="L7" s="1"/>
      <c r="M7" s="1"/>
    </row>
    <row r="8" ht="15.75" customHeight="1">
      <c r="A8" s="1"/>
      <c r="B8" s="87" t="s">
        <v>1</v>
      </c>
      <c r="C8" s="1"/>
      <c r="D8" s="8" t="s">
        <v>29</v>
      </c>
      <c r="E8" s="8" t="s">
        <v>3</v>
      </c>
      <c r="F8" s="8" t="s">
        <v>4</v>
      </c>
      <c r="G8" s="88" t="s">
        <v>8</v>
      </c>
      <c r="H8" s="1"/>
      <c r="I8" s="1"/>
      <c r="J8" s="1"/>
      <c r="K8" s="1"/>
      <c r="L8" s="1"/>
      <c r="M8" s="1"/>
    </row>
    <row r="9" ht="15.75" customHeight="1">
      <c r="A9" s="1"/>
      <c r="B9" s="89" t="s">
        <v>6</v>
      </c>
      <c r="C9" s="29"/>
      <c r="D9" s="30" t="s">
        <v>7</v>
      </c>
      <c r="E9" s="30" t="s">
        <v>7</v>
      </c>
      <c r="F9" s="30" t="s">
        <v>7</v>
      </c>
      <c r="G9" s="90"/>
      <c r="H9" s="1"/>
      <c r="I9" s="1"/>
      <c r="J9" s="1"/>
      <c r="K9" s="1"/>
      <c r="L9" s="1"/>
      <c r="M9" s="1"/>
    </row>
    <row r="10" ht="15.75" customHeight="1">
      <c r="A10" s="1"/>
      <c r="B10" s="91" t="s">
        <v>204</v>
      </c>
      <c r="C10" s="16"/>
      <c r="D10" s="15">
        <f>-F28</f>
        <v>-2000</v>
      </c>
      <c r="E10" s="16"/>
      <c r="F10" s="16"/>
      <c r="G10" s="92"/>
      <c r="H10" s="1"/>
      <c r="I10" s="1"/>
      <c r="J10" s="1"/>
      <c r="K10" s="1"/>
      <c r="L10" s="1"/>
      <c r="M10" s="1"/>
    </row>
    <row r="11" ht="15.75" customHeight="1">
      <c r="A11" s="1"/>
      <c r="B11" s="107" t="s">
        <v>205</v>
      </c>
      <c r="C11" s="20"/>
      <c r="D11" s="19">
        <f>D40</f>
        <v>94</v>
      </c>
      <c r="E11" s="20"/>
      <c r="F11" s="20"/>
      <c r="G11" s="108"/>
      <c r="H11" s="1"/>
      <c r="I11" s="1"/>
      <c r="J11" s="1"/>
      <c r="K11" s="1"/>
      <c r="L11" s="1"/>
      <c r="M11" s="1"/>
    </row>
    <row r="12" ht="15.75" customHeight="1">
      <c r="A12" s="1"/>
      <c r="B12" s="91" t="s">
        <v>206</v>
      </c>
      <c r="C12" s="16"/>
      <c r="D12" s="15">
        <f>D72</f>
        <v>30</v>
      </c>
      <c r="E12" s="16"/>
      <c r="F12" s="16"/>
      <c r="G12" s="92"/>
      <c r="H12" s="1"/>
      <c r="I12" s="1"/>
      <c r="J12" s="1"/>
      <c r="K12" s="1"/>
      <c r="L12" s="1"/>
      <c r="M12" s="1"/>
    </row>
    <row r="13" ht="15.75" customHeight="1">
      <c r="A13" s="1"/>
      <c r="B13" s="107" t="s">
        <v>207</v>
      </c>
      <c r="C13" s="20"/>
      <c r="D13" s="19">
        <f>D102</f>
        <v>45</v>
      </c>
      <c r="E13" s="20"/>
      <c r="F13" s="20"/>
      <c r="G13" s="108"/>
      <c r="H13" s="1"/>
      <c r="I13" s="1"/>
      <c r="J13" s="1"/>
      <c r="K13" s="1"/>
      <c r="L13" s="1"/>
      <c r="M13" s="1"/>
    </row>
    <row r="14" ht="15.75" customHeight="1">
      <c r="A14" s="1"/>
      <c r="B14" s="91" t="s">
        <v>208</v>
      </c>
      <c r="C14" s="16"/>
      <c r="D14" s="15">
        <f>D132</f>
        <v>-15</v>
      </c>
      <c r="E14" s="16"/>
      <c r="F14" s="16"/>
      <c r="G14" s="92"/>
      <c r="H14" s="1"/>
      <c r="I14" s="1"/>
      <c r="J14" s="1"/>
      <c r="K14" s="1"/>
      <c r="L14" s="1"/>
      <c r="M14" s="1"/>
    </row>
    <row r="15" ht="15.75" customHeight="1">
      <c r="A15" s="1"/>
      <c r="B15" s="107" t="s">
        <v>209</v>
      </c>
      <c r="C15" s="20"/>
      <c r="D15" s="19">
        <f>D165</f>
        <v>100</v>
      </c>
      <c r="E15" s="20"/>
      <c r="F15" s="20"/>
      <c r="G15" s="108"/>
      <c r="H15" s="1"/>
      <c r="I15" s="1"/>
      <c r="J15" s="1"/>
      <c r="K15" s="1"/>
      <c r="L15" s="1"/>
      <c r="M15" s="1"/>
    </row>
    <row r="16" ht="15.75" customHeight="1">
      <c r="A16" s="1"/>
      <c r="B16" s="93" t="s">
        <v>27</v>
      </c>
      <c r="C16" s="95"/>
      <c r="D16" s="94">
        <f>SUM(D10,D11,D12,D13,D14,D15)</f>
        <v>-1746</v>
      </c>
      <c r="E16" s="95"/>
      <c r="F16" s="95"/>
      <c r="G16" s="96"/>
      <c r="H16" s="1"/>
      <c r="I16" s="1"/>
      <c r="J16" s="1"/>
      <c r="K16" s="1"/>
      <c r="L16" s="1"/>
      <c r="M16" s="1"/>
    </row>
    <row r="17" ht="15.75" customHeight="1">
      <c r="A17" s="1"/>
      <c r="B17" s="1" t="s">
        <v>97</v>
      </c>
      <c r="C17" s="34">
        <f>D38+D70+D100+D130+D163</f>
        <v>88881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ht="15.75" customHeight="1">
      <c r="A18" s="1"/>
      <c r="B18" s="1" t="s">
        <v>210</v>
      </c>
      <c r="C18" s="34">
        <f>F28+D39+D71+D101+D131+D164</f>
        <v>-86627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ht="15.75" customHeight="1">
      <c r="A22" s="1"/>
      <c r="B22" s="158" t="s">
        <v>211</v>
      </c>
      <c r="C22" s="82"/>
      <c r="D22" s="82"/>
      <c r="E22" s="82"/>
      <c r="F22" s="82"/>
      <c r="G22" s="82"/>
      <c r="H22" s="82"/>
      <c r="I22" s="82"/>
      <c r="J22" s="82"/>
      <c r="K22" s="83"/>
      <c r="L22" s="1"/>
      <c r="M22" s="1"/>
    </row>
    <row r="23" ht="15.75" customHeight="1">
      <c r="A23" s="1"/>
      <c r="B23" s="84"/>
      <c r="C23" s="1"/>
      <c r="D23" s="1"/>
      <c r="E23" s="1"/>
      <c r="F23" s="1"/>
      <c r="G23" s="1"/>
      <c r="H23" s="1"/>
      <c r="I23" s="1"/>
      <c r="J23" s="1"/>
      <c r="K23" s="85"/>
      <c r="L23" s="1"/>
      <c r="M23" s="1"/>
    </row>
    <row r="24" ht="15.75" customHeight="1">
      <c r="A24" s="1"/>
      <c r="B24" s="87" t="s">
        <v>78</v>
      </c>
      <c r="C24" s="1"/>
      <c r="D24" s="8" t="s">
        <v>29</v>
      </c>
      <c r="E24" s="1"/>
      <c r="F24" s="1"/>
      <c r="G24" s="8" t="s">
        <v>3</v>
      </c>
      <c r="H24" s="8"/>
      <c r="I24" s="8"/>
      <c r="J24" s="8" t="s">
        <v>4</v>
      </c>
      <c r="K24" s="88" t="s">
        <v>8</v>
      </c>
      <c r="L24" s="1"/>
      <c r="M24" s="1"/>
    </row>
    <row r="25" ht="15.75" customHeight="1">
      <c r="A25" s="1"/>
      <c r="B25" s="98" t="s">
        <v>6</v>
      </c>
      <c r="C25" s="58"/>
      <c r="D25" s="59" t="s">
        <v>38</v>
      </c>
      <c r="E25" s="59" t="s">
        <v>39</v>
      </c>
      <c r="F25" s="59" t="s">
        <v>7</v>
      </c>
      <c r="G25" s="59" t="s">
        <v>7</v>
      </c>
      <c r="H25" s="59"/>
      <c r="I25" s="59"/>
      <c r="J25" s="59" t="s">
        <v>7</v>
      </c>
      <c r="K25" s="99"/>
      <c r="L25" s="1"/>
      <c r="M25" s="1"/>
    </row>
    <row r="26" ht="15.75" customHeight="1">
      <c r="A26" s="1"/>
      <c r="B26" s="91" t="s">
        <v>212</v>
      </c>
      <c r="C26" s="16"/>
      <c r="D26" s="49">
        <v>1.0</v>
      </c>
      <c r="E26" s="15">
        <v>2000.0</v>
      </c>
      <c r="F26" s="15">
        <f>SUMPRODUCT(E26,D26)</f>
        <v>2000</v>
      </c>
      <c r="G26" s="16"/>
      <c r="H26" s="16"/>
      <c r="I26" s="16"/>
      <c r="J26" s="16"/>
      <c r="K26" s="92" t="s">
        <v>213</v>
      </c>
      <c r="L26" s="1"/>
      <c r="M26" s="1"/>
    </row>
    <row r="27" ht="15.75" customHeight="1">
      <c r="A27" s="1"/>
      <c r="B27" s="100" t="s">
        <v>141</v>
      </c>
      <c r="C27" s="62"/>
      <c r="D27" s="63">
        <v>0.0</v>
      </c>
      <c r="E27" s="64">
        <v>625.0</v>
      </c>
      <c r="F27" s="64">
        <f>PRODUCT(D27,E27)</f>
        <v>0</v>
      </c>
      <c r="G27" s="62"/>
      <c r="H27" s="62"/>
      <c r="I27" s="62"/>
      <c r="J27" s="62"/>
      <c r="K27" s="159" t="s">
        <v>214</v>
      </c>
      <c r="L27" s="1"/>
      <c r="M27" s="1"/>
    </row>
    <row r="28" ht="15.75" customHeight="1">
      <c r="A28" s="1"/>
      <c r="B28" s="102" t="s">
        <v>27</v>
      </c>
      <c r="C28" s="104"/>
      <c r="D28" s="104"/>
      <c r="E28" s="104"/>
      <c r="F28" s="103">
        <f>SUM(F26,F27)</f>
        <v>2000</v>
      </c>
      <c r="G28" s="104"/>
      <c r="H28" s="104"/>
      <c r="I28" s="104"/>
      <c r="J28" s="104"/>
      <c r="K28" s="105"/>
      <c r="L28" s="1"/>
      <c r="M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ht="15.75" customHeight="1">
      <c r="A34" s="1"/>
      <c r="B34" s="158" t="s">
        <v>215</v>
      </c>
      <c r="C34" s="82"/>
      <c r="D34" s="82"/>
      <c r="E34" s="82"/>
      <c r="F34" s="82"/>
      <c r="G34" s="82"/>
      <c r="H34" s="82"/>
      <c r="I34" s="82"/>
      <c r="J34" s="82"/>
      <c r="K34" s="83"/>
      <c r="L34" s="1"/>
      <c r="M34" s="1"/>
    </row>
    <row r="35" ht="15.75" customHeight="1">
      <c r="A35" s="1"/>
      <c r="B35" s="84"/>
      <c r="C35" s="1"/>
      <c r="D35" s="1"/>
      <c r="E35" s="1"/>
      <c r="F35" s="1"/>
      <c r="G35" s="1"/>
      <c r="H35" s="1"/>
      <c r="I35" s="1"/>
      <c r="J35" s="1"/>
      <c r="K35" s="85"/>
      <c r="L35" s="1"/>
      <c r="M35" s="1"/>
    </row>
    <row r="36" ht="15.75" customHeight="1">
      <c r="A36" s="1"/>
      <c r="B36" s="87" t="s">
        <v>1</v>
      </c>
      <c r="C36" s="1"/>
      <c r="D36" s="8" t="s">
        <v>29</v>
      </c>
      <c r="E36" s="8" t="s">
        <v>3</v>
      </c>
      <c r="F36" s="8" t="s">
        <v>4</v>
      </c>
      <c r="G36" s="8" t="s">
        <v>8</v>
      </c>
      <c r="H36" s="1"/>
      <c r="I36" s="1"/>
      <c r="J36" s="1"/>
      <c r="K36" s="85"/>
      <c r="L36" s="1"/>
      <c r="M36" s="1"/>
    </row>
    <row r="37" ht="15.75" customHeight="1">
      <c r="A37" s="1"/>
      <c r="B37" s="89" t="s">
        <v>6</v>
      </c>
      <c r="C37" s="29"/>
      <c r="D37" s="30" t="s">
        <v>7</v>
      </c>
      <c r="E37" s="30" t="s">
        <v>7</v>
      </c>
      <c r="F37" s="30" t="s">
        <v>7</v>
      </c>
      <c r="G37" s="29"/>
      <c r="H37" s="1"/>
      <c r="I37" s="1"/>
      <c r="J37" s="1"/>
      <c r="K37" s="85"/>
      <c r="L37" s="1"/>
      <c r="M37" s="1"/>
    </row>
    <row r="38" ht="15.75" customHeight="1">
      <c r="A38" s="1"/>
      <c r="B38" s="91" t="s">
        <v>216</v>
      </c>
      <c r="C38" s="16"/>
      <c r="D38" s="15">
        <f>F50</f>
        <v>13256</v>
      </c>
      <c r="E38" s="16"/>
      <c r="F38" s="16"/>
      <c r="G38" s="16"/>
      <c r="H38" s="1"/>
      <c r="I38" s="1"/>
      <c r="J38" s="1"/>
      <c r="K38" s="85"/>
      <c r="L38" s="1"/>
      <c r="M38" s="1"/>
    </row>
    <row r="39" ht="15.75" customHeight="1">
      <c r="A39" s="1"/>
      <c r="B39" s="107" t="s">
        <v>78</v>
      </c>
      <c r="C39" s="20"/>
      <c r="D39" s="19">
        <f>-F61</f>
        <v>-13162</v>
      </c>
      <c r="E39" s="20"/>
      <c r="F39" s="20"/>
      <c r="G39" s="20"/>
      <c r="H39" s="1"/>
      <c r="I39" s="1"/>
      <c r="J39" s="1"/>
      <c r="K39" s="85"/>
      <c r="L39" s="1"/>
      <c r="M39" s="1"/>
    </row>
    <row r="40" ht="15.75" customHeight="1">
      <c r="A40" s="1"/>
      <c r="B40" s="116" t="s">
        <v>27</v>
      </c>
      <c r="C40" s="32"/>
      <c r="D40" s="33">
        <f>SUM(D38,D39)</f>
        <v>94</v>
      </c>
      <c r="E40" s="32"/>
      <c r="F40" s="32"/>
      <c r="G40" s="32"/>
      <c r="H40" s="1"/>
      <c r="I40" s="1"/>
      <c r="J40" s="1"/>
      <c r="K40" s="85"/>
      <c r="L40" s="1"/>
      <c r="M40" s="1"/>
    </row>
    <row r="41" ht="15.75" customHeight="1">
      <c r="A41" s="1"/>
      <c r="B41" s="87"/>
      <c r="C41" s="1"/>
      <c r="D41" s="8"/>
      <c r="E41" s="1"/>
      <c r="F41" s="1"/>
      <c r="G41" s="8"/>
      <c r="H41" s="8"/>
      <c r="I41" s="8"/>
      <c r="J41" s="8"/>
      <c r="K41" s="88"/>
      <c r="L41" s="1"/>
      <c r="M41" s="1"/>
    </row>
    <row r="42" ht="15.75" customHeight="1">
      <c r="A42" s="1"/>
      <c r="B42" s="87"/>
      <c r="C42" s="1"/>
      <c r="D42" s="8"/>
      <c r="E42" s="1"/>
      <c r="F42" s="1"/>
      <c r="G42" s="8"/>
      <c r="H42" s="8"/>
      <c r="I42" s="8"/>
      <c r="J42" s="8"/>
      <c r="K42" s="88"/>
      <c r="L42" s="1"/>
      <c r="M42" s="1"/>
    </row>
    <row r="43" ht="15.75" customHeight="1">
      <c r="A43" s="1"/>
      <c r="B43" s="87" t="s">
        <v>216</v>
      </c>
      <c r="C43" s="1"/>
      <c r="D43" s="8" t="s">
        <v>29</v>
      </c>
      <c r="E43" s="1"/>
      <c r="F43" s="1"/>
      <c r="G43" s="8" t="s">
        <v>3</v>
      </c>
      <c r="H43" s="8"/>
      <c r="I43" s="8"/>
      <c r="J43" s="8" t="s">
        <v>4</v>
      </c>
      <c r="K43" s="88" t="s">
        <v>8</v>
      </c>
      <c r="L43" s="1"/>
      <c r="M43" s="1"/>
    </row>
    <row r="44" ht="15.75" customHeight="1">
      <c r="A44" s="1"/>
      <c r="B44" s="118" t="s">
        <v>6</v>
      </c>
      <c r="C44" s="37"/>
      <c r="D44" s="38" t="s">
        <v>38</v>
      </c>
      <c r="E44" s="38" t="s">
        <v>39</v>
      </c>
      <c r="F44" s="38" t="s">
        <v>7</v>
      </c>
      <c r="G44" s="38" t="s">
        <v>38</v>
      </c>
      <c r="H44" s="38" t="s">
        <v>39</v>
      </c>
      <c r="I44" s="38" t="s">
        <v>7</v>
      </c>
      <c r="J44" s="37"/>
      <c r="K44" s="123"/>
      <c r="L44" s="1"/>
      <c r="M44" s="1"/>
    </row>
    <row r="45" ht="15.75" customHeight="1">
      <c r="A45" s="1"/>
      <c r="B45" s="91" t="s">
        <v>116</v>
      </c>
      <c r="C45" s="16"/>
      <c r="D45" s="49">
        <v>105.0</v>
      </c>
      <c r="E45" s="50">
        <v>108.0</v>
      </c>
      <c r="F45" s="15">
        <f t="shared" ref="F45:F49" si="1">PRODUCT(D45,E45)</f>
        <v>11340</v>
      </c>
      <c r="G45" s="16"/>
      <c r="H45" s="16"/>
      <c r="I45" s="16"/>
      <c r="J45" s="16"/>
      <c r="K45" s="92"/>
      <c r="L45" s="1"/>
      <c r="M45" s="1"/>
    </row>
    <row r="46" ht="15.75" customHeight="1">
      <c r="A46" s="1"/>
      <c r="B46" s="124" t="s">
        <v>119</v>
      </c>
      <c r="C46" s="40"/>
      <c r="D46" s="51">
        <v>10.0</v>
      </c>
      <c r="E46" s="41">
        <v>108.0</v>
      </c>
      <c r="F46" s="43">
        <f t="shared" si="1"/>
        <v>1080</v>
      </c>
      <c r="G46" s="40"/>
      <c r="H46" s="40"/>
      <c r="I46" s="40"/>
      <c r="J46" s="40"/>
      <c r="K46" s="125"/>
      <c r="L46" s="1"/>
      <c r="M46" s="1"/>
      <c r="N46" s="160"/>
    </row>
    <row r="47" ht="15.75" customHeight="1">
      <c r="A47" s="1"/>
      <c r="B47" s="91" t="s">
        <v>120</v>
      </c>
      <c r="C47" s="16"/>
      <c r="D47" s="49">
        <v>5.0</v>
      </c>
      <c r="E47" s="50">
        <v>108.0</v>
      </c>
      <c r="F47" s="15">
        <f t="shared" si="1"/>
        <v>540</v>
      </c>
      <c r="G47" s="16"/>
      <c r="H47" s="16"/>
      <c r="I47" s="16"/>
      <c r="J47" s="16"/>
      <c r="K47" s="92"/>
      <c r="L47" s="1"/>
      <c r="M47" s="1"/>
      <c r="N47" s="160"/>
    </row>
    <row r="48" ht="15.75" customHeight="1">
      <c r="A48" s="1"/>
      <c r="B48" s="124" t="s">
        <v>217</v>
      </c>
      <c r="C48" s="40"/>
      <c r="D48" s="51">
        <v>2.0</v>
      </c>
      <c r="E48" s="41">
        <v>148.0</v>
      </c>
      <c r="F48" s="43">
        <f t="shared" si="1"/>
        <v>296</v>
      </c>
      <c r="G48" s="40"/>
      <c r="H48" s="40"/>
      <c r="I48" s="40"/>
      <c r="J48" s="40"/>
      <c r="K48" s="125"/>
      <c r="L48" s="1"/>
      <c r="M48" s="1"/>
      <c r="N48" s="160"/>
    </row>
    <row r="49" ht="15.75" customHeight="1">
      <c r="A49" s="1"/>
      <c r="B49" s="91" t="s">
        <v>218</v>
      </c>
      <c r="C49" s="16"/>
      <c r="D49" s="49">
        <v>0.0</v>
      </c>
      <c r="E49" s="50">
        <v>148.0</v>
      </c>
      <c r="F49" s="15">
        <f t="shared" si="1"/>
        <v>0</v>
      </c>
      <c r="G49" s="16"/>
      <c r="H49" s="16"/>
      <c r="I49" s="16"/>
      <c r="J49" s="16"/>
      <c r="K49" s="92"/>
      <c r="L49" s="1"/>
      <c r="M49" s="1"/>
    </row>
    <row r="50" ht="15.75" customHeight="1">
      <c r="A50" s="1"/>
      <c r="B50" s="119" t="s">
        <v>27</v>
      </c>
      <c r="C50" s="46"/>
      <c r="D50" s="46"/>
      <c r="E50" s="46"/>
      <c r="F50" s="47">
        <f>SUM(F45,F46,F47,F48,F49)</f>
        <v>13256</v>
      </c>
      <c r="G50" s="46"/>
      <c r="H50" s="46"/>
      <c r="I50" s="46"/>
      <c r="J50" s="46"/>
      <c r="K50" s="126"/>
      <c r="L50" s="1"/>
      <c r="M50" s="1"/>
    </row>
    <row r="51" ht="15.75" customHeight="1">
      <c r="A51" s="1"/>
      <c r="B51" s="84"/>
      <c r="C51" s="1"/>
      <c r="D51" s="1"/>
      <c r="E51" s="1"/>
      <c r="F51" s="1"/>
      <c r="G51" s="1"/>
      <c r="H51" s="1"/>
      <c r="I51" s="1"/>
      <c r="J51" s="1"/>
      <c r="K51" s="85"/>
      <c r="L51" s="1"/>
      <c r="M51" s="1"/>
    </row>
    <row r="52" ht="15.75" customHeight="1">
      <c r="A52" s="1"/>
      <c r="B52" s="84"/>
      <c r="C52" s="1"/>
      <c r="D52" s="1"/>
      <c r="E52" s="1"/>
      <c r="F52" s="1"/>
      <c r="G52" s="1"/>
      <c r="H52" s="1"/>
      <c r="I52" s="1"/>
      <c r="J52" s="1"/>
      <c r="K52" s="85"/>
      <c r="L52" s="1"/>
      <c r="M52" s="1"/>
    </row>
    <row r="53" ht="15.75" customHeight="1">
      <c r="A53" s="1"/>
      <c r="B53" s="87" t="s">
        <v>78</v>
      </c>
      <c r="C53" s="1"/>
      <c r="D53" s="8" t="s">
        <v>29</v>
      </c>
      <c r="E53" s="1"/>
      <c r="F53" s="1"/>
      <c r="G53" s="8" t="s">
        <v>3</v>
      </c>
      <c r="H53" s="8"/>
      <c r="I53" s="8"/>
      <c r="J53" s="8" t="s">
        <v>4</v>
      </c>
      <c r="K53" s="88" t="s">
        <v>8</v>
      </c>
      <c r="L53" s="1"/>
      <c r="M53" s="1"/>
    </row>
    <row r="54" ht="15.75" customHeight="1">
      <c r="A54" s="1"/>
      <c r="B54" s="98" t="s">
        <v>6</v>
      </c>
      <c r="C54" s="58"/>
      <c r="D54" s="59" t="s">
        <v>38</v>
      </c>
      <c r="E54" s="59" t="s">
        <v>39</v>
      </c>
      <c r="F54" s="59" t="s">
        <v>7</v>
      </c>
      <c r="G54" s="59" t="s">
        <v>38</v>
      </c>
      <c r="H54" s="59" t="s">
        <v>39</v>
      </c>
      <c r="I54" s="59" t="s">
        <v>7</v>
      </c>
      <c r="J54" s="59" t="s">
        <v>7</v>
      </c>
      <c r="K54" s="99"/>
      <c r="L54" s="1"/>
      <c r="M54" s="1"/>
    </row>
    <row r="55" ht="15.75" customHeight="1">
      <c r="A55" s="1"/>
      <c r="B55" s="91" t="s">
        <v>102</v>
      </c>
      <c r="C55" s="16"/>
      <c r="D55" s="49">
        <f>SUM(D45,D46,D47,D48,D49)</f>
        <v>122</v>
      </c>
      <c r="E55" s="15">
        <f>54</f>
        <v>54</v>
      </c>
      <c r="F55" s="15">
        <f t="shared" ref="F55:F60" si="2">PRODUCT(D55,E55)</f>
        <v>6588</v>
      </c>
      <c r="G55" s="16"/>
      <c r="H55" s="16"/>
      <c r="I55" s="16"/>
      <c r="J55" s="16"/>
      <c r="K55" s="92"/>
      <c r="L55" s="1"/>
      <c r="M55" s="1"/>
    </row>
    <row r="56" ht="15.75" customHeight="1">
      <c r="A56" s="1"/>
      <c r="B56" s="100" t="s">
        <v>139</v>
      </c>
      <c r="C56" s="62"/>
      <c r="D56" s="63">
        <v>1.0</v>
      </c>
      <c r="E56" s="64">
        <v>550.0</v>
      </c>
      <c r="F56" s="64">
        <f t="shared" si="2"/>
        <v>550</v>
      </c>
      <c r="G56" s="62"/>
      <c r="H56" s="62"/>
      <c r="I56" s="62"/>
      <c r="J56" s="62"/>
      <c r="K56" s="101"/>
      <c r="L56" s="1"/>
      <c r="M56" s="1"/>
    </row>
    <row r="57" ht="15.75" customHeight="1">
      <c r="A57" s="1"/>
      <c r="B57" s="110" t="s">
        <v>219</v>
      </c>
      <c r="C57" s="16"/>
      <c r="D57" s="49">
        <v>1.0</v>
      </c>
      <c r="E57" s="15">
        <v>1700.0</v>
      </c>
      <c r="F57" s="15">
        <f t="shared" si="2"/>
        <v>1700</v>
      </c>
      <c r="G57" s="16"/>
      <c r="H57" s="16"/>
      <c r="I57" s="15">
        <v>145.18</v>
      </c>
      <c r="J57" s="16"/>
      <c r="K57" s="92"/>
      <c r="L57" s="1"/>
      <c r="M57" s="1"/>
    </row>
    <row r="58" ht="15.75" customHeight="1">
      <c r="A58" s="1"/>
      <c r="B58" s="100" t="s">
        <v>220</v>
      </c>
      <c r="C58" s="62"/>
      <c r="D58" s="63">
        <f>SUM(D45,D46,D47,D48,D49)</f>
        <v>122</v>
      </c>
      <c r="E58" s="64">
        <v>17.0</v>
      </c>
      <c r="F58" s="64">
        <f t="shared" si="2"/>
        <v>2074</v>
      </c>
      <c r="G58" s="62"/>
      <c r="H58" s="62"/>
      <c r="I58" s="62"/>
      <c r="J58" s="62"/>
      <c r="K58" s="109"/>
      <c r="L58" s="1"/>
      <c r="M58" s="1"/>
    </row>
    <row r="59" ht="15.75" customHeight="1">
      <c r="A59" s="1"/>
      <c r="B59" s="91" t="s">
        <v>135</v>
      </c>
      <c r="C59" s="16"/>
      <c r="D59" s="49">
        <v>1.0</v>
      </c>
      <c r="E59" s="15">
        <v>1750.0</v>
      </c>
      <c r="F59" s="15">
        <f t="shared" si="2"/>
        <v>1750</v>
      </c>
      <c r="G59" s="16"/>
      <c r="H59" s="16"/>
      <c r="I59" s="16"/>
      <c r="J59" s="16"/>
      <c r="K59" s="92"/>
      <c r="L59" s="1"/>
      <c r="M59" s="1"/>
    </row>
    <row r="60" ht="15.75" customHeight="1">
      <c r="A60" s="1"/>
      <c r="B60" s="100" t="s">
        <v>37</v>
      </c>
      <c r="C60" s="62"/>
      <c r="D60" s="161">
        <v>1.0</v>
      </c>
      <c r="E60" s="64">
        <v>500.0</v>
      </c>
      <c r="F60" s="64">
        <f t="shared" si="2"/>
        <v>500</v>
      </c>
      <c r="G60" s="62"/>
      <c r="H60" s="62"/>
      <c r="I60" s="62"/>
      <c r="J60" s="62"/>
      <c r="K60" s="159" t="s">
        <v>221</v>
      </c>
      <c r="L60" s="1"/>
      <c r="M60" s="1"/>
    </row>
    <row r="61" ht="15.75" customHeight="1">
      <c r="A61" s="1"/>
      <c r="B61" s="102" t="s">
        <v>27</v>
      </c>
      <c r="C61" s="104"/>
      <c r="D61" s="104"/>
      <c r="E61" s="104"/>
      <c r="F61" s="103">
        <f>SUM(F55,F56,F57,F58,F59,F60)</f>
        <v>13162</v>
      </c>
      <c r="G61" s="104"/>
      <c r="H61" s="104"/>
      <c r="I61" s="104"/>
      <c r="J61" s="104"/>
      <c r="K61" s="105"/>
      <c r="L61" s="1"/>
      <c r="M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75" customHeight="1">
      <c r="A66" s="1"/>
      <c r="B66" s="158" t="s">
        <v>222</v>
      </c>
      <c r="C66" s="82"/>
      <c r="D66" s="82"/>
      <c r="E66" s="82"/>
      <c r="F66" s="82"/>
      <c r="G66" s="82"/>
      <c r="H66" s="82"/>
      <c r="I66" s="82"/>
      <c r="J66" s="82"/>
      <c r="K66" s="83"/>
      <c r="L66" s="1"/>
      <c r="M66" s="1"/>
    </row>
    <row r="67" ht="15.75" customHeight="1">
      <c r="A67" s="1"/>
      <c r="B67" s="84"/>
      <c r="C67" s="1"/>
      <c r="D67" s="1"/>
      <c r="E67" s="1"/>
      <c r="F67" s="1"/>
      <c r="G67" s="1"/>
      <c r="H67" s="1"/>
      <c r="I67" s="1"/>
      <c r="J67" s="1"/>
      <c r="K67" s="85"/>
      <c r="L67" s="1"/>
      <c r="M67" s="1"/>
    </row>
    <row r="68" ht="15.75" customHeight="1">
      <c r="A68" s="1"/>
      <c r="B68" s="87" t="s">
        <v>1</v>
      </c>
      <c r="C68" s="1"/>
      <c r="D68" s="8" t="s">
        <v>29</v>
      </c>
      <c r="E68" s="8" t="s">
        <v>3</v>
      </c>
      <c r="F68" s="8" t="s">
        <v>4</v>
      </c>
      <c r="G68" s="8" t="s">
        <v>8</v>
      </c>
      <c r="H68" s="1"/>
      <c r="I68" s="1"/>
      <c r="J68" s="1"/>
      <c r="K68" s="85"/>
      <c r="L68" s="1"/>
      <c r="M68" s="1"/>
    </row>
    <row r="69" ht="15.75" customHeight="1">
      <c r="A69" s="1"/>
      <c r="B69" s="89" t="s">
        <v>6</v>
      </c>
      <c r="C69" s="29"/>
      <c r="D69" s="30" t="s">
        <v>7</v>
      </c>
      <c r="E69" s="30" t="s">
        <v>7</v>
      </c>
      <c r="F69" s="30" t="s">
        <v>7</v>
      </c>
      <c r="G69" s="29"/>
      <c r="H69" s="1"/>
      <c r="I69" s="1"/>
      <c r="J69" s="1"/>
      <c r="K69" s="85"/>
      <c r="L69" s="1"/>
      <c r="M69" s="1"/>
    </row>
    <row r="70" ht="15.75" customHeight="1">
      <c r="A70" s="1"/>
      <c r="B70" s="91" t="s">
        <v>216</v>
      </c>
      <c r="C70" s="16"/>
      <c r="D70" s="15">
        <f>F82</f>
        <v>15105</v>
      </c>
      <c r="E70" s="16"/>
      <c r="F70" s="16"/>
      <c r="G70" s="16"/>
      <c r="H70" s="1"/>
      <c r="I70" s="1"/>
      <c r="J70" s="1"/>
      <c r="K70" s="85"/>
      <c r="L70" s="1"/>
      <c r="M70" s="1"/>
    </row>
    <row r="71" ht="15.75" customHeight="1">
      <c r="A71" s="1"/>
      <c r="B71" s="107" t="s">
        <v>78</v>
      </c>
      <c r="C71" s="20"/>
      <c r="D71" s="19">
        <f>-F91</f>
        <v>-15075</v>
      </c>
      <c r="E71" s="20"/>
      <c r="F71" s="20"/>
      <c r="G71" s="20"/>
      <c r="H71" s="1"/>
      <c r="I71" s="1"/>
      <c r="J71" s="1"/>
      <c r="K71" s="85"/>
      <c r="L71" s="1"/>
      <c r="M71" s="1"/>
    </row>
    <row r="72" ht="15.75" customHeight="1">
      <c r="A72" s="1"/>
      <c r="B72" s="116" t="s">
        <v>27</v>
      </c>
      <c r="C72" s="32"/>
      <c r="D72" s="33">
        <f>SUM(D70,D71)</f>
        <v>30</v>
      </c>
      <c r="E72" s="32"/>
      <c r="F72" s="32"/>
      <c r="G72" s="32"/>
      <c r="H72" s="1"/>
      <c r="I72" s="1"/>
      <c r="J72" s="1"/>
      <c r="K72" s="85"/>
      <c r="L72" s="1"/>
      <c r="M72" s="1"/>
    </row>
    <row r="73" ht="15.75" customHeight="1">
      <c r="A73" s="1"/>
      <c r="B73" s="84"/>
      <c r="C73" s="1"/>
      <c r="D73" s="1"/>
      <c r="E73" s="1"/>
      <c r="F73" s="1"/>
      <c r="G73" s="1"/>
      <c r="H73" s="1"/>
      <c r="I73" s="1"/>
      <c r="J73" s="1"/>
      <c r="K73" s="85"/>
      <c r="L73" s="1"/>
      <c r="M73" s="1"/>
    </row>
    <row r="74" ht="15.75" customHeight="1">
      <c r="A74" s="1"/>
      <c r="B74" s="84"/>
      <c r="C74" s="1"/>
      <c r="D74" s="1"/>
      <c r="E74" s="1"/>
      <c r="F74" s="1"/>
      <c r="G74" s="1"/>
      <c r="H74" s="1"/>
      <c r="I74" s="1"/>
      <c r="J74" s="1"/>
      <c r="K74" s="85"/>
      <c r="L74" s="1"/>
      <c r="M74" s="1"/>
    </row>
    <row r="75" ht="15.75" customHeight="1">
      <c r="A75" s="1"/>
      <c r="B75" s="87" t="s">
        <v>216</v>
      </c>
      <c r="C75" s="1"/>
      <c r="D75" s="8" t="s">
        <v>29</v>
      </c>
      <c r="E75" s="1"/>
      <c r="F75" s="1"/>
      <c r="G75" s="8" t="s">
        <v>3</v>
      </c>
      <c r="H75" s="8"/>
      <c r="I75" s="8"/>
      <c r="J75" s="8" t="s">
        <v>4</v>
      </c>
      <c r="K75" s="88" t="s">
        <v>8</v>
      </c>
      <c r="L75" s="1"/>
      <c r="M75" s="1"/>
    </row>
    <row r="76" ht="15.75" customHeight="1">
      <c r="A76" s="1"/>
      <c r="B76" s="118" t="s">
        <v>6</v>
      </c>
      <c r="C76" s="37"/>
      <c r="D76" s="38" t="s">
        <v>38</v>
      </c>
      <c r="E76" s="38" t="s">
        <v>39</v>
      </c>
      <c r="F76" s="38" t="s">
        <v>7</v>
      </c>
      <c r="G76" s="38" t="s">
        <v>38</v>
      </c>
      <c r="H76" s="38" t="s">
        <v>39</v>
      </c>
      <c r="I76" s="38" t="s">
        <v>7</v>
      </c>
      <c r="J76" s="38" t="s">
        <v>7</v>
      </c>
      <c r="K76" s="123"/>
      <c r="L76" s="1"/>
      <c r="M76" s="1"/>
    </row>
    <row r="77" ht="15.75" customHeight="1">
      <c r="A77" s="1"/>
      <c r="B77" s="91" t="s">
        <v>116</v>
      </c>
      <c r="C77" s="16"/>
      <c r="D77" s="49">
        <v>105.0</v>
      </c>
      <c r="E77" s="15">
        <v>125.0</v>
      </c>
      <c r="F77" s="15">
        <f t="shared" ref="F77:F81" si="3">PRODUCT(D77,E77)</f>
        <v>13125</v>
      </c>
      <c r="G77" s="16"/>
      <c r="H77" s="16"/>
      <c r="I77" s="16"/>
      <c r="J77" s="16"/>
      <c r="K77" s="92"/>
      <c r="L77" s="1"/>
      <c r="M77" s="1"/>
    </row>
    <row r="78" ht="15.75" customHeight="1">
      <c r="A78" s="1"/>
      <c r="B78" s="124" t="s">
        <v>119</v>
      </c>
      <c r="C78" s="40"/>
      <c r="D78" s="51">
        <v>10.0</v>
      </c>
      <c r="E78" s="43">
        <v>125.0</v>
      </c>
      <c r="F78" s="43">
        <f t="shared" si="3"/>
        <v>1250</v>
      </c>
      <c r="G78" s="40"/>
      <c r="H78" s="40"/>
      <c r="I78" s="40"/>
      <c r="J78" s="40"/>
      <c r="K78" s="125"/>
      <c r="L78" s="1"/>
      <c r="M78" s="1"/>
    </row>
    <row r="79" ht="15.75" customHeight="1">
      <c r="A79" s="1"/>
      <c r="B79" s="91" t="s">
        <v>120</v>
      </c>
      <c r="C79" s="16"/>
      <c r="D79" s="49">
        <v>5.0</v>
      </c>
      <c r="E79" s="15">
        <v>90.0</v>
      </c>
      <c r="F79" s="15">
        <f t="shared" si="3"/>
        <v>450</v>
      </c>
      <c r="G79" s="16"/>
      <c r="H79" s="16"/>
      <c r="I79" s="16"/>
      <c r="J79" s="16"/>
      <c r="K79" s="92"/>
      <c r="L79" s="1"/>
      <c r="M79" s="1"/>
    </row>
    <row r="80" ht="15.75" customHeight="1">
      <c r="A80" s="1"/>
      <c r="B80" s="124" t="s">
        <v>217</v>
      </c>
      <c r="C80" s="40"/>
      <c r="D80" s="51">
        <v>2.0</v>
      </c>
      <c r="E80" s="43">
        <v>140.0</v>
      </c>
      <c r="F80" s="43">
        <f t="shared" si="3"/>
        <v>280</v>
      </c>
      <c r="G80" s="40"/>
      <c r="H80" s="40"/>
      <c r="I80" s="40"/>
      <c r="J80" s="40"/>
      <c r="K80" s="125"/>
      <c r="L80" s="1"/>
      <c r="M80" s="1"/>
    </row>
    <row r="81" ht="15.75" customHeight="1">
      <c r="A81" s="1"/>
      <c r="B81" s="91" t="s">
        <v>218</v>
      </c>
      <c r="C81" s="16"/>
      <c r="D81" s="49">
        <v>0.0</v>
      </c>
      <c r="E81" s="15">
        <v>140.0</v>
      </c>
      <c r="F81" s="15">
        <f t="shared" si="3"/>
        <v>0</v>
      </c>
      <c r="G81" s="16"/>
      <c r="H81" s="16"/>
      <c r="I81" s="16"/>
      <c r="J81" s="16"/>
      <c r="K81" s="92"/>
      <c r="L81" s="1"/>
      <c r="M81" s="1"/>
    </row>
    <row r="82" ht="15.75" customHeight="1">
      <c r="A82" s="1"/>
      <c r="B82" s="119" t="s">
        <v>27</v>
      </c>
      <c r="C82" s="46"/>
      <c r="D82" s="46"/>
      <c r="E82" s="46"/>
      <c r="F82" s="47">
        <f>SUM(F77,F78,F79,F80,F81)</f>
        <v>15105</v>
      </c>
      <c r="G82" s="46"/>
      <c r="H82" s="46"/>
      <c r="I82" s="46"/>
      <c r="J82" s="46"/>
      <c r="K82" s="126"/>
      <c r="L82" s="1"/>
      <c r="M82" s="1"/>
    </row>
    <row r="83" ht="15.75" customHeight="1">
      <c r="A83" s="1"/>
      <c r="B83" s="84"/>
      <c r="C83" s="1"/>
      <c r="D83" s="1"/>
      <c r="E83" s="1"/>
      <c r="F83" s="1"/>
      <c r="G83" s="1"/>
      <c r="H83" s="1"/>
      <c r="I83" s="1"/>
      <c r="J83" s="1"/>
      <c r="K83" s="85"/>
      <c r="L83" s="1"/>
      <c r="M83" s="1"/>
    </row>
    <row r="84" ht="15.75" customHeight="1">
      <c r="A84" s="1"/>
      <c r="B84" s="84"/>
      <c r="C84" s="1"/>
      <c r="D84" s="1"/>
      <c r="E84" s="1"/>
      <c r="F84" s="1"/>
      <c r="G84" s="1"/>
      <c r="H84" s="1"/>
      <c r="I84" s="1"/>
      <c r="J84" s="1"/>
      <c r="K84" s="85"/>
      <c r="L84" s="1"/>
      <c r="M84" s="1"/>
    </row>
    <row r="85" ht="15.75" customHeight="1">
      <c r="A85" s="1"/>
      <c r="B85" s="87" t="s">
        <v>78</v>
      </c>
      <c r="C85" s="1"/>
      <c r="D85" s="8" t="s">
        <v>29</v>
      </c>
      <c r="E85" s="1"/>
      <c r="F85" s="1"/>
      <c r="G85" s="8" t="s">
        <v>3</v>
      </c>
      <c r="H85" s="8"/>
      <c r="I85" s="8"/>
      <c r="J85" s="8" t="s">
        <v>4</v>
      </c>
      <c r="K85" s="88" t="s">
        <v>8</v>
      </c>
      <c r="L85" s="1"/>
      <c r="M85" s="1"/>
    </row>
    <row r="86" ht="15.75" customHeight="1">
      <c r="A86" s="1"/>
      <c r="B86" s="98" t="s">
        <v>6</v>
      </c>
      <c r="C86" s="58"/>
      <c r="D86" s="59" t="s">
        <v>38</v>
      </c>
      <c r="E86" s="59" t="s">
        <v>39</v>
      </c>
      <c r="F86" s="59" t="s">
        <v>7</v>
      </c>
      <c r="G86" s="59" t="s">
        <v>38</v>
      </c>
      <c r="H86" s="59" t="s">
        <v>39</v>
      </c>
      <c r="I86" s="59" t="s">
        <v>7</v>
      </c>
      <c r="J86" s="59" t="s">
        <v>7</v>
      </c>
      <c r="K86" s="99"/>
      <c r="L86" s="1"/>
      <c r="M86" s="1"/>
    </row>
    <row r="87" ht="15.75" customHeight="1">
      <c r="A87" s="1"/>
      <c r="B87" s="91" t="s">
        <v>102</v>
      </c>
      <c r="C87" s="16"/>
      <c r="D87" s="49">
        <f>SUM(D77,D78,D79,D80,D81)</f>
        <v>122</v>
      </c>
      <c r="E87" s="15">
        <v>60.0</v>
      </c>
      <c r="F87" s="15">
        <f t="shared" ref="F87:F90" si="4">PRODUCT(D87,E87)</f>
        <v>7320</v>
      </c>
      <c r="G87" s="16"/>
      <c r="H87" s="16"/>
      <c r="I87" s="16"/>
      <c r="J87" s="16"/>
      <c r="K87" s="162" t="s">
        <v>223</v>
      </c>
      <c r="L87" s="1"/>
      <c r="M87" s="1"/>
    </row>
    <row r="88" ht="15.75" customHeight="1">
      <c r="A88" s="1"/>
      <c r="B88" s="100" t="s">
        <v>105</v>
      </c>
      <c r="C88" s="62"/>
      <c r="D88" s="63">
        <f t="shared" ref="D88:D89" si="5">SUM(D77,D80)</f>
        <v>107</v>
      </c>
      <c r="E88" s="64">
        <v>65.0</v>
      </c>
      <c r="F88" s="64">
        <f t="shared" si="4"/>
        <v>6955</v>
      </c>
      <c r="G88" s="62"/>
      <c r="H88" s="62"/>
      <c r="I88" s="62"/>
      <c r="J88" s="62"/>
      <c r="K88" s="101"/>
      <c r="L88" s="1"/>
      <c r="M88" s="1"/>
    </row>
    <row r="89" ht="15.75" customHeight="1">
      <c r="A89" s="1"/>
      <c r="B89" s="91" t="s">
        <v>107</v>
      </c>
      <c r="C89" s="16"/>
      <c r="D89" s="49">
        <f t="shared" si="5"/>
        <v>10</v>
      </c>
      <c r="E89" s="15">
        <v>65.0</v>
      </c>
      <c r="F89" s="15">
        <f t="shared" si="4"/>
        <v>650</v>
      </c>
      <c r="G89" s="16"/>
      <c r="H89" s="16"/>
      <c r="I89" s="16"/>
      <c r="J89" s="16"/>
      <c r="K89" s="92"/>
      <c r="L89" s="1"/>
      <c r="M89" s="1"/>
    </row>
    <row r="90" ht="15.75" customHeight="1">
      <c r="A90" s="1"/>
      <c r="B90" s="100" t="s">
        <v>106</v>
      </c>
      <c r="C90" s="62"/>
      <c r="D90" s="63">
        <f>D79</f>
        <v>5</v>
      </c>
      <c r="E90" s="64">
        <v>30.0</v>
      </c>
      <c r="F90" s="64">
        <f t="shared" si="4"/>
        <v>150</v>
      </c>
      <c r="G90" s="62"/>
      <c r="H90" s="62"/>
      <c r="I90" s="62"/>
      <c r="J90" s="62"/>
      <c r="K90" s="101"/>
      <c r="L90" s="1"/>
      <c r="M90" s="1"/>
    </row>
    <row r="91" ht="15.75" customHeight="1">
      <c r="A91" s="1"/>
      <c r="B91" s="102" t="s">
        <v>27</v>
      </c>
      <c r="C91" s="104"/>
      <c r="D91" s="104"/>
      <c r="E91" s="104"/>
      <c r="F91" s="103">
        <f>SUM(F87,F88,F89,F90)</f>
        <v>15075</v>
      </c>
      <c r="G91" s="104"/>
      <c r="H91" s="104"/>
      <c r="I91" s="104"/>
      <c r="J91" s="104"/>
      <c r="K91" s="105"/>
      <c r="L91" s="1"/>
      <c r="M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ht="15.75" customHeight="1">
      <c r="A96" s="1"/>
      <c r="B96" s="158" t="s">
        <v>224</v>
      </c>
      <c r="C96" s="82"/>
      <c r="D96" s="82"/>
      <c r="E96" s="82"/>
      <c r="F96" s="82"/>
      <c r="G96" s="82"/>
      <c r="H96" s="82"/>
      <c r="I96" s="82"/>
      <c r="J96" s="82"/>
      <c r="K96" s="83"/>
      <c r="L96" s="1"/>
      <c r="M96" s="1"/>
    </row>
    <row r="97" ht="15.75" customHeight="1">
      <c r="A97" s="1"/>
      <c r="B97" s="84"/>
      <c r="C97" s="1"/>
      <c r="D97" s="1"/>
      <c r="E97" s="1"/>
      <c r="F97" s="1"/>
      <c r="G97" s="1"/>
      <c r="H97" s="1"/>
      <c r="I97" s="1"/>
      <c r="J97" s="1"/>
      <c r="K97" s="85"/>
      <c r="L97" s="1"/>
      <c r="M97" s="1"/>
    </row>
    <row r="98" ht="15.75" customHeight="1">
      <c r="A98" s="1"/>
      <c r="B98" s="87" t="s">
        <v>1</v>
      </c>
      <c r="C98" s="1"/>
      <c r="D98" s="8" t="s">
        <v>2</v>
      </c>
      <c r="E98" s="8" t="s">
        <v>3</v>
      </c>
      <c r="F98" s="8" t="s">
        <v>4</v>
      </c>
      <c r="G98" s="8" t="s">
        <v>8</v>
      </c>
      <c r="H98" s="1"/>
      <c r="I98" s="1"/>
      <c r="J98" s="1"/>
      <c r="K98" s="85"/>
      <c r="L98" s="1"/>
      <c r="M98" s="1"/>
    </row>
    <row r="99" ht="15.75" customHeight="1">
      <c r="A99" s="1"/>
      <c r="B99" s="89" t="s">
        <v>6</v>
      </c>
      <c r="C99" s="29"/>
      <c r="D99" s="30" t="s">
        <v>7</v>
      </c>
      <c r="E99" s="30" t="s">
        <v>7</v>
      </c>
      <c r="F99" s="30" t="s">
        <v>7</v>
      </c>
      <c r="G99" s="29"/>
      <c r="H99" s="1"/>
      <c r="I99" s="1"/>
      <c r="J99" s="1"/>
      <c r="K99" s="85"/>
      <c r="L99" s="1"/>
      <c r="M99" s="1"/>
    </row>
    <row r="100" ht="15.75" customHeight="1">
      <c r="A100" s="1"/>
      <c r="B100" s="91" t="s">
        <v>216</v>
      </c>
      <c r="C100" s="16"/>
      <c r="D100" s="15">
        <f>F112</f>
        <v>15245</v>
      </c>
      <c r="E100" s="16"/>
      <c r="F100" s="16"/>
      <c r="G100" s="16"/>
      <c r="H100" s="1"/>
      <c r="I100" s="1"/>
      <c r="J100" s="1"/>
      <c r="K100" s="85"/>
      <c r="L100" s="1"/>
      <c r="M100" s="1"/>
    </row>
    <row r="101" ht="15.75" customHeight="1">
      <c r="A101" s="1"/>
      <c r="B101" s="107" t="s">
        <v>78</v>
      </c>
      <c r="C101" s="20"/>
      <c r="D101" s="19">
        <f>-F121</f>
        <v>-15200</v>
      </c>
      <c r="E101" s="20"/>
      <c r="F101" s="20"/>
      <c r="G101" s="20"/>
      <c r="H101" s="1"/>
      <c r="I101" s="1"/>
      <c r="J101" s="1"/>
      <c r="K101" s="85"/>
      <c r="L101" s="1"/>
      <c r="M101" s="1"/>
    </row>
    <row r="102" ht="15.75" customHeight="1">
      <c r="A102" s="1"/>
      <c r="B102" s="116" t="s">
        <v>27</v>
      </c>
      <c r="C102" s="32"/>
      <c r="D102" s="33">
        <f>SUM(D100,D101)</f>
        <v>45</v>
      </c>
      <c r="E102" s="32"/>
      <c r="F102" s="32"/>
      <c r="G102" s="32"/>
      <c r="H102" s="1"/>
      <c r="I102" s="1"/>
      <c r="J102" s="1"/>
      <c r="K102" s="85"/>
      <c r="L102" s="1"/>
      <c r="M102" s="1"/>
    </row>
    <row r="103" ht="15.75" customHeight="1">
      <c r="A103" s="1"/>
      <c r="B103" s="84"/>
      <c r="C103" s="1"/>
      <c r="D103" s="1"/>
      <c r="E103" s="1"/>
      <c r="F103" s="1"/>
      <c r="G103" s="1"/>
      <c r="H103" s="1"/>
      <c r="I103" s="1"/>
      <c r="J103" s="1"/>
      <c r="K103" s="85"/>
      <c r="L103" s="1"/>
      <c r="M103" s="1"/>
    </row>
    <row r="104" ht="15.75" customHeight="1">
      <c r="A104" s="1"/>
      <c r="B104" s="84"/>
      <c r="C104" s="1"/>
      <c r="D104" s="1"/>
      <c r="E104" s="1"/>
      <c r="F104" s="1"/>
      <c r="G104" s="1"/>
      <c r="H104" s="1"/>
      <c r="I104" s="1"/>
      <c r="J104" s="1"/>
      <c r="K104" s="85"/>
      <c r="L104" s="1"/>
      <c r="M104" s="1"/>
    </row>
    <row r="105" ht="15.75" customHeight="1">
      <c r="A105" s="1"/>
      <c r="B105" s="87" t="s">
        <v>216</v>
      </c>
      <c r="C105" s="1"/>
      <c r="D105" s="8" t="s">
        <v>29</v>
      </c>
      <c r="E105" s="1"/>
      <c r="F105" s="1"/>
      <c r="G105" s="8" t="s">
        <v>3</v>
      </c>
      <c r="H105" s="8"/>
      <c r="I105" s="8"/>
      <c r="J105" s="8" t="s">
        <v>4</v>
      </c>
      <c r="K105" s="88" t="s">
        <v>8</v>
      </c>
      <c r="L105" s="1"/>
      <c r="M105" s="1"/>
    </row>
    <row r="106" ht="15.75" customHeight="1">
      <c r="A106" s="1"/>
      <c r="B106" s="118" t="s">
        <v>6</v>
      </c>
      <c r="C106" s="37"/>
      <c r="D106" s="38" t="s">
        <v>38</v>
      </c>
      <c r="E106" s="38" t="s">
        <v>39</v>
      </c>
      <c r="F106" s="38" t="s">
        <v>7</v>
      </c>
      <c r="G106" s="38" t="s">
        <v>38</v>
      </c>
      <c r="H106" s="38" t="s">
        <v>39</v>
      </c>
      <c r="I106" s="38" t="s">
        <v>7</v>
      </c>
      <c r="J106" s="38" t="s">
        <v>7</v>
      </c>
      <c r="K106" s="123"/>
      <c r="L106" s="1"/>
      <c r="M106" s="1"/>
    </row>
    <row r="107" ht="15.75" customHeight="1">
      <c r="A107" s="1"/>
      <c r="B107" s="91" t="s">
        <v>116</v>
      </c>
      <c r="C107" s="16"/>
      <c r="D107" s="49">
        <v>105.0</v>
      </c>
      <c r="E107" s="15">
        <v>125.0</v>
      </c>
      <c r="F107" s="15">
        <f t="shared" ref="F107:F111" si="6">PRODUCT(D107,E107)</f>
        <v>13125</v>
      </c>
      <c r="G107" s="16"/>
      <c r="H107" s="16"/>
      <c r="I107" s="16"/>
      <c r="J107" s="16"/>
      <c r="K107" s="92"/>
      <c r="L107" s="1"/>
      <c r="M107" s="1"/>
    </row>
    <row r="108" ht="15.75" customHeight="1">
      <c r="A108" s="1"/>
      <c r="B108" s="124" t="s">
        <v>119</v>
      </c>
      <c r="C108" s="40"/>
      <c r="D108" s="51">
        <v>10.0</v>
      </c>
      <c r="E108" s="43">
        <v>125.0</v>
      </c>
      <c r="F108" s="43">
        <f t="shared" si="6"/>
        <v>1250</v>
      </c>
      <c r="G108" s="40"/>
      <c r="H108" s="40"/>
      <c r="I108" s="40"/>
      <c r="J108" s="40"/>
      <c r="K108" s="125"/>
      <c r="L108" s="1"/>
      <c r="M108" s="1"/>
    </row>
    <row r="109" ht="15.75" customHeight="1">
      <c r="A109" s="1"/>
      <c r="B109" s="91" t="s">
        <v>120</v>
      </c>
      <c r="C109" s="16"/>
      <c r="D109" s="49">
        <v>5.0</v>
      </c>
      <c r="E109" s="15">
        <v>90.0</v>
      </c>
      <c r="F109" s="15">
        <f t="shared" si="6"/>
        <v>450</v>
      </c>
      <c r="G109" s="16"/>
      <c r="H109" s="16"/>
      <c r="I109" s="16"/>
      <c r="J109" s="16"/>
      <c r="K109" s="92"/>
      <c r="L109" s="1"/>
      <c r="M109" s="1"/>
    </row>
    <row r="110" ht="15.75" customHeight="1">
      <c r="A110" s="1"/>
      <c r="B110" s="124" t="s">
        <v>217</v>
      </c>
      <c r="C110" s="40"/>
      <c r="D110" s="51">
        <v>3.0</v>
      </c>
      <c r="E110" s="43">
        <v>140.0</v>
      </c>
      <c r="F110" s="43">
        <f t="shared" si="6"/>
        <v>420</v>
      </c>
      <c r="G110" s="40"/>
      <c r="H110" s="40"/>
      <c r="I110" s="40"/>
      <c r="J110" s="40"/>
      <c r="K110" s="125"/>
      <c r="L110" s="1"/>
      <c r="M110" s="1"/>
    </row>
    <row r="111" ht="15.75" customHeight="1">
      <c r="A111" s="1"/>
      <c r="B111" s="91" t="s">
        <v>218</v>
      </c>
      <c r="C111" s="16"/>
      <c r="D111" s="49">
        <v>0.0</v>
      </c>
      <c r="E111" s="15">
        <v>140.0</v>
      </c>
      <c r="F111" s="15">
        <f t="shared" si="6"/>
        <v>0</v>
      </c>
      <c r="G111" s="16"/>
      <c r="H111" s="16"/>
      <c r="I111" s="16"/>
      <c r="J111" s="16"/>
      <c r="K111" s="92"/>
      <c r="L111" s="1"/>
      <c r="M111" s="1"/>
    </row>
    <row r="112" ht="15.75" customHeight="1">
      <c r="A112" s="1"/>
      <c r="B112" s="119" t="s">
        <v>27</v>
      </c>
      <c r="C112" s="46"/>
      <c r="D112" s="46"/>
      <c r="E112" s="46"/>
      <c r="F112" s="47">
        <f>SUM(F107,F108,F109,F110,F111)</f>
        <v>15245</v>
      </c>
      <c r="G112" s="46"/>
      <c r="H112" s="46"/>
      <c r="I112" s="46"/>
      <c r="J112" s="46"/>
      <c r="K112" s="126"/>
      <c r="L112" s="1"/>
      <c r="M112" s="1"/>
    </row>
    <row r="113" ht="15.75" customHeight="1">
      <c r="A113" s="1"/>
      <c r="B113" s="84"/>
      <c r="C113" s="1"/>
      <c r="D113" s="1"/>
      <c r="E113" s="1"/>
      <c r="F113" s="1"/>
      <c r="G113" s="1"/>
      <c r="H113" s="1"/>
      <c r="I113" s="1"/>
      <c r="J113" s="1"/>
      <c r="K113" s="85"/>
      <c r="L113" s="1"/>
      <c r="M113" s="1"/>
    </row>
    <row r="114" ht="15.75" customHeight="1">
      <c r="A114" s="1"/>
      <c r="B114" s="84"/>
      <c r="C114" s="1"/>
      <c r="D114" s="1"/>
      <c r="E114" s="1"/>
      <c r="F114" s="1"/>
      <c r="G114" s="1"/>
      <c r="H114" s="1"/>
      <c r="I114" s="1"/>
      <c r="J114" s="1"/>
      <c r="K114" s="85"/>
      <c r="L114" s="1"/>
      <c r="M114" s="1"/>
    </row>
    <row r="115" ht="15.75" customHeight="1">
      <c r="A115" s="1"/>
      <c r="B115" s="87" t="s">
        <v>78</v>
      </c>
      <c r="C115" s="1"/>
      <c r="D115" s="8" t="s">
        <v>29</v>
      </c>
      <c r="E115" s="1"/>
      <c r="F115" s="1"/>
      <c r="G115" s="8" t="s">
        <v>3</v>
      </c>
      <c r="H115" s="8"/>
      <c r="I115" s="8"/>
      <c r="J115" s="8" t="s">
        <v>4</v>
      </c>
      <c r="K115" s="88" t="s">
        <v>8</v>
      </c>
      <c r="L115" s="1"/>
      <c r="M115" s="1"/>
    </row>
    <row r="116" ht="15.75" customHeight="1">
      <c r="A116" s="1"/>
      <c r="B116" s="98" t="s">
        <v>6</v>
      </c>
      <c r="C116" s="58"/>
      <c r="D116" s="59" t="s">
        <v>38</v>
      </c>
      <c r="E116" s="59" t="s">
        <v>39</v>
      </c>
      <c r="F116" s="59" t="s">
        <v>7</v>
      </c>
      <c r="G116" s="59" t="s">
        <v>38</v>
      </c>
      <c r="H116" s="59" t="s">
        <v>39</v>
      </c>
      <c r="I116" s="59" t="s">
        <v>7</v>
      </c>
      <c r="J116" s="59" t="s">
        <v>7</v>
      </c>
      <c r="K116" s="99"/>
      <c r="L116" s="1"/>
      <c r="M116" s="1"/>
    </row>
    <row r="117" ht="15.75" customHeight="1">
      <c r="A117" s="1"/>
      <c r="B117" s="91" t="s">
        <v>102</v>
      </c>
      <c r="C117" s="16"/>
      <c r="D117" s="49">
        <f>SUM(D107,D108,D109,D110,D111)</f>
        <v>123</v>
      </c>
      <c r="E117" s="15">
        <v>60.0</v>
      </c>
      <c r="F117" s="15">
        <f t="shared" ref="F117:F120" si="7">PRODUCT(D117,E117)</f>
        <v>7380</v>
      </c>
      <c r="G117" s="16"/>
      <c r="H117" s="16"/>
      <c r="I117" s="16"/>
      <c r="J117" s="16"/>
      <c r="K117" s="162" t="s">
        <v>225</v>
      </c>
      <c r="L117" s="1"/>
      <c r="M117" s="1"/>
    </row>
    <row r="118" ht="15.75" customHeight="1">
      <c r="A118" s="1"/>
      <c r="B118" s="100" t="s">
        <v>105</v>
      </c>
      <c r="C118" s="62"/>
      <c r="D118" s="63">
        <f t="shared" ref="D118:D119" si="8">SUM(D107,D110)</f>
        <v>108</v>
      </c>
      <c r="E118" s="64">
        <v>65.0</v>
      </c>
      <c r="F118" s="64">
        <f t="shared" si="7"/>
        <v>7020</v>
      </c>
      <c r="G118" s="62"/>
      <c r="H118" s="62"/>
      <c r="I118" s="62"/>
      <c r="J118" s="62"/>
      <c r="K118" s="101"/>
      <c r="L118" s="1"/>
      <c r="M118" s="1"/>
    </row>
    <row r="119" ht="15.75" customHeight="1">
      <c r="A119" s="1"/>
      <c r="B119" s="91" t="s">
        <v>107</v>
      </c>
      <c r="C119" s="16"/>
      <c r="D119" s="49">
        <f t="shared" si="8"/>
        <v>10</v>
      </c>
      <c r="E119" s="15">
        <v>65.0</v>
      </c>
      <c r="F119" s="15">
        <f t="shared" si="7"/>
        <v>650</v>
      </c>
      <c r="G119" s="16"/>
      <c r="H119" s="16"/>
      <c r="I119" s="16"/>
      <c r="J119" s="16"/>
      <c r="K119" s="92"/>
      <c r="L119" s="1"/>
      <c r="M119" s="1"/>
    </row>
    <row r="120" ht="15.75" customHeight="1">
      <c r="A120" s="1"/>
      <c r="B120" s="100" t="s">
        <v>106</v>
      </c>
      <c r="C120" s="62"/>
      <c r="D120" s="63">
        <f>SUM(D109)</f>
        <v>5</v>
      </c>
      <c r="E120" s="64">
        <v>30.0</v>
      </c>
      <c r="F120" s="64">
        <f t="shared" si="7"/>
        <v>150</v>
      </c>
      <c r="G120" s="62"/>
      <c r="H120" s="62"/>
      <c r="I120" s="62"/>
      <c r="J120" s="62"/>
      <c r="K120" s="101"/>
      <c r="L120" s="1"/>
      <c r="M120" s="1"/>
    </row>
    <row r="121" ht="15.75" customHeight="1">
      <c r="A121" s="1"/>
      <c r="B121" s="102" t="s">
        <v>27</v>
      </c>
      <c r="C121" s="104"/>
      <c r="D121" s="104"/>
      <c r="E121" s="104"/>
      <c r="F121" s="103">
        <f>SUM(F117,F118,F119,F120)</f>
        <v>15200</v>
      </c>
      <c r="G121" s="104"/>
      <c r="H121" s="104"/>
      <c r="I121" s="104"/>
      <c r="J121" s="104"/>
      <c r="K121" s="105"/>
      <c r="L121" s="1"/>
      <c r="M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ht="15.75" customHeight="1">
      <c r="A126" s="1"/>
      <c r="B126" s="158" t="s">
        <v>226</v>
      </c>
      <c r="C126" s="82"/>
      <c r="D126" s="82"/>
      <c r="E126" s="82"/>
      <c r="F126" s="82"/>
      <c r="G126" s="82"/>
      <c r="H126" s="82"/>
      <c r="I126" s="82"/>
      <c r="J126" s="82"/>
      <c r="K126" s="83"/>
      <c r="L126" s="1"/>
      <c r="M126" s="1"/>
    </row>
    <row r="127" ht="15.75" customHeight="1">
      <c r="A127" s="1"/>
      <c r="B127" s="84"/>
      <c r="C127" s="1"/>
      <c r="D127" s="1"/>
      <c r="E127" s="1"/>
      <c r="F127" s="1"/>
      <c r="G127" s="1"/>
      <c r="H127" s="1"/>
      <c r="I127" s="1"/>
      <c r="J127" s="1"/>
      <c r="K127" s="85"/>
      <c r="L127" s="1"/>
      <c r="M127" s="1"/>
    </row>
    <row r="128" ht="15.75" customHeight="1">
      <c r="A128" s="1"/>
      <c r="B128" s="87" t="s">
        <v>1</v>
      </c>
      <c r="C128" s="1"/>
      <c r="D128" s="8" t="s">
        <v>29</v>
      </c>
      <c r="E128" s="8" t="s">
        <v>3</v>
      </c>
      <c r="F128" s="8" t="s">
        <v>4</v>
      </c>
      <c r="G128" s="8" t="s">
        <v>8</v>
      </c>
      <c r="H128" s="1"/>
      <c r="I128" s="1"/>
      <c r="J128" s="1"/>
      <c r="K128" s="85"/>
      <c r="L128" s="1"/>
      <c r="M128" s="1"/>
    </row>
    <row r="129" ht="15.75" customHeight="1">
      <c r="A129" s="1"/>
      <c r="B129" s="89" t="s">
        <v>6</v>
      </c>
      <c r="C129" s="29"/>
      <c r="D129" s="30" t="s">
        <v>7</v>
      </c>
      <c r="E129" s="30" t="s">
        <v>7</v>
      </c>
      <c r="F129" s="30" t="s">
        <v>7</v>
      </c>
      <c r="G129" s="29"/>
      <c r="H129" s="1"/>
      <c r="I129" s="1"/>
      <c r="J129" s="1"/>
      <c r="K129" s="85"/>
      <c r="L129" s="1"/>
      <c r="M129" s="1"/>
    </row>
    <row r="130" ht="15.75" customHeight="1">
      <c r="A130" s="1"/>
      <c r="B130" s="91" t="s">
        <v>216</v>
      </c>
      <c r="C130" s="16"/>
      <c r="D130" s="15">
        <f>F143</f>
        <v>22245</v>
      </c>
      <c r="E130" s="16"/>
      <c r="F130" s="16"/>
      <c r="G130" s="16"/>
      <c r="H130" s="1"/>
      <c r="I130" s="1"/>
      <c r="J130" s="1"/>
      <c r="K130" s="85"/>
      <c r="L130" s="1"/>
      <c r="M130" s="1"/>
    </row>
    <row r="131" ht="15.75" customHeight="1">
      <c r="A131" s="1"/>
      <c r="B131" s="107" t="s">
        <v>78</v>
      </c>
      <c r="C131" s="20"/>
      <c r="D131" s="19">
        <f>-F154</f>
        <v>-22260</v>
      </c>
      <c r="E131" s="20"/>
      <c r="F131" s="20"/>
      <c r="G131" s="20"/>
      <c r="H131" s="1"/>
      <c r="I131" s="1"/>
      <c r="J131" s="1"/>
      <c r="K131" s="85"/>
      <c r="L131" s="1"/>
      <c r="M131" s="1"/>
    </row>
    <row r="132" ht="15.75" customHeight="1">
      <c r="A132" s="1"/>
      <c r="B132" s="116" t="s">
        <v>27</v>
      </c>
      <c r="C132" s="32"/>
      <c r="D132" s="33">
        <f>SUM(D130,D131)</f>
        <v>-15</v>
      </c>
      <c r="E132" s="32"/>
      <c r="F132" s="32"/>
      <c r="G132" s="32"/>
      <c r="H132" s="1"/>
      <c r="I132" s="1"/>
      <c r="J132" s="1"/>
      <c r="K132" s="85"/>
      <c r="L132" s="1"/>
      <c r="M132" s="1"/>
    </row>
    <row r="133" ht="15.75" customHeight="1">
      <c r="A133" s="1"/>
      <c r="B133" s="84"/>
      <c r="C133" s="1"/>
      <c r="D133" s="1"/>
      <c r="E133" s="1"/>
      <c r="F133" s="1"/>
      <c r="G133" s="1"/>
      <c r="H133" s="1"/>
      <c r="I133" s="1"/>
      <c r="J133" s="1"/>
      <c r="K133" s="85"/>
      <c r="L133" s="1"/>
      <c r="M133" s="1"/>
    </row>
    <row r="134" ht="15.75" customHeight="1">
      <c r="A134" s="1"/>
      <c r="B134" s="84"/>
      <c r="C134" s="1"/>
      <c r="D134" s="1"/>
      <c r="E134" s="1"/>
      <c r="F134" s="1"/>
      <c r="G134" s="1"/>
      <c r="H134" s="1"/>
      <c r="I134" s="1"/>
      <c r="J134" s="1"/>
      <c r="K134" s="85"/>
      <c r="L134" s="1"/>
      <c r="M134" s="1"/>
    </row>
    <row r="135" ht="15.75" customHeight="1">
      <c r="A135" s="1"/>
      <c r="B135" s="87" t="s">
        <v>216</v>
      </c>
      <c r="C135" s="1"/>
      <c r="D135" s="8" t="s">
        <v>29</v>
      </c>
      <c r="E135" s="1"/>
      <c r="F135" s="1"/>
      <c r="G135" s="8" t="s">
        <v>3</v>
      </c>
      <c r="H135" s="8"/>
      <c r="I135" s="8"/>
      <c r="J135" s="8" t="s">
        <v>4</v>
      </c>
      <c r="K135" s="88" t="s">
        <v>8</v>
      </c>
      <c r="L135" s="1"/>
      <c r="M135" s="1"/>
    </row>
    <row r="136" ht="15.75" customHeight="1">
      <c r="A136" s="1"/>
      <c r="B136" s="118" t="s">
        <v>6</v>
      </c>
      <c r="C136" s="37"/>
      <c r="D136" s="38" t="s">
        <v>38</v>
      </c>
      <c r="E136" s="38" t="s">
        <v>39</v>
      </c>
      <c r="F136" s="38" t="s">
        <v>7</v>
      </c>
      <c r="G136" s="38" t="s">
        <v>38</v>
      </c>
      <c r="H136" s="38" t="s">
        <v>39</v>
      </c>
      <c r="I136" s="38" t="s">
        <v>7</v>
      </c>
      <c r="J136" s="38" t="s">
        <v>7</v>
      </c>
      <c r="K136" s="123"/>
      <c r="L136" s="1"/>
      <c r="M136" s="1"/>
    </row>
    <row r="137" ht="15.75" customHeight="1">
      <c r="A137" s="1"/>
      <c r="B137" s="91" t="s">
        <v>116</v>
      </c>
      <c r="C137" s="16"/>
      <c r="D137" s="49">
        <v>105.0</v>
      </c>
      <c r="E137" s="50">
        <v>139.0</v>
      </c>
      <c r="F137" s="15">
        <f t="shared" ref="F137:F141" si="9">PRODUCT(D137,E137)</f>
        <v>14595</v>
      </c>
      <c r="G137" s="16"/>
      <c r="H137" s="16"/>
      <c r="I137" s="16"/>
      <c r="J137" s="16"/>
      <c r="K137" s="92"/>
      <c r="L137" s="1"/>
      <c r="M137" s="1"/>
    </row>
    <row r="138" ht="15.75" customHeight="1">
      <c r="A138" s="1"/>
      <c r="B138" s="124" t="s">
        <v>119</v>
      </c>
      <c r="C138" s="40"/>
      <c r="D138" s="51">
        <v>10.0</v>
      </c>
      <c r="E138" s="41">
        <v>139.0</v>
      </c>
      <c r="F138" s="43">
        <f t="shared" si="9"/>
        <v>1390</v>
      </c>
      <c r="G138" s="40"/>
      <c r="H138" s="40"/>
      <c r="I138" s="40"/>
      <c r="J138" s="40"/>
      <c r="K138" s="125"/>
      <c r="L138" s="1"/>
      <c r="M138" s="1"/>
    </row>
    <row r="139" ht="15.75" customHeight="1">
      <c r="A139" s="1"/>
      <c r="B139" s="91" t="s">
        <v>120</v>
      </c>
      <c r="C139" s="16"/>
      <c r="D139" s="49">
        <v>5.0</v>
      </c>
      <c r="E139" s="50">
        <v>104.0</v>
      </c>
      <c r="F139" s="15">
        <f t="shared" si="9"/>
        <v>520</v>
      </c>
      <c r="G139" s="16"/>
      <c r="H139" s="16"/>
      <c r="I139" s="16"/>
      <c r="J139" s="16"/>
      <c r="K139" s="92"/>
      <c r="L139" s="1"/>
      <c r="M139" s="1"/>
    </row>
    <row r="140" ht="15.75" customHeight="1">
      <c r="A140" s="1"/>
      <c r="B140" s="124" t="s">
        <v>227</v>
      </c>
      <c r="C140" s="40"/>
      <c r="D140" s="51">
        <v>30.0</v>
      </c>
      <c r="E140" s="41">
        <v>164.0</v>
      </c>
      <c r="F140" s="43">
        <f t="shared" si="9"/>
        <v>4920</v>
      </c>
      <c r="G140" s="40"/>
      <c r="H140" s="40"/>
      <c r="I140" s="40"/>
      <c r="J140" s="40"/>
      <c r="K140" s="125"/>
      <c r="L140" s="1"/>
      <c r="M140" s="1"/>
    </row>
    <row r="141" ht="15.75" customHeight="1">
      <c r="A141" s="1"/>
      <c r="B141" s="91" t="s">
        <v>228</v>
      </c>
      <c r="C141" s="16"/>
      <c r="D141" s="49">
        <v>5.0</v>
      </c>
      <c r="E141" s="50">
        <v>164.0</v>
      </c>
      <c r="F141" s="15">
        <f t="shared" si="9"/>
        <v>820</v>
      </c>
      <c r="G141" s="16"/>
      <c r="H141" s="16"/>
      <c r="I141" s="16"/>
      <c r="J141" s="16"/>
      <c r="K141" s="92"/>
      <c r="L141" s="1"/>
      <c r="M141" s="1"/>
    </row>
    <row r="142" ht="15.75" customHeight="1">
      <c r="A142" s="1"/>
      <c r="B142" s="91" t="s">
        <v>229</v>
      </c>
      <c r="C142" s="16"/>
      <c r="D142" s="49"/>
      <c r="E142" s="15"/>
      <c r="F142" s="15"/>
      <c r="G142" s="16"/>
      <c r="H142" s="16"/>
      <c r="I142" s="16"/>
      <c r="J142" s="16"/>
      <c r="K142" s="92"/>
      <c r="L142" s="1"/>
      <c r="M142" s="1"/>
    </row>
    <row r="143" ht="15.75" customHeight="1">
      <c r="A143" s="1"/>
      <c r="B143" s="119" t="s">
        <v>27</v>
      </c>
      <c r="C143" s="46"/>
      <c r="D143" s="46"/>
      <c r="E143" s="46"/>
      <c r="F143" s="47">
        <f>SUM(F137,F138,F139,F140,F141)</f>
        <v>22245</v>
      </c>
      <c r="G143" s="46"/>
      <c r="H143" s="46"/>
      <c r="I143" s="46"/>
      <c r="J143" s="46"/>
      <c r="K143" s="126"/>
      <c r="L143" s="1"/>
      <c r="M143" s="1"/>
    </row>
    <row r="144" ht="15.75" customHeight="1">
      <c r="A144" s="1"/>
      <c r="B144" s="84"/>
      <c r="C144" s="1"/>
      <c r="D144" s="1"/>
      <c r="E144" s="1"/>
      <c r="F144" s="1"/>
      <c r="G144" s="1"/>
      <c r="H144" s="1"/>
      <c r="I144" s="1"/>
      <c r="J144" s="1"/>
      <c r="K144" s="85"/>
      <c r="L144" s="1"/>
      <c r="M144" s="1"/>
    </row>
    <row r="145" ht="15.75" customHeight="1">
      <c r="A145" s="1"/>
      <c r="B145" s="84"/>
      <c r="C145" s="1"/>
      <c r="D145" s="1"/>
      <c r="E145" s="1"/>
      <c r="F145" s="1"/>
      <c r="G145" s="1"/>
      <c r="H145" s="1"/>
      <c r="I145" s="1"/>
      <c r="J145" s="1"/>
      <c r="K145" s="85"/>
      <c r="L145" s="1"/>
      <c r="M145" s="1"/>
    </row>
    <row r="146" ht="15.75" customHeight="1">
      <c r="A146" s="1"/>
      <c r="B146" s="87" t="s">
        <v>78</v>
      </c>
      <c r="C146" s="1"/>
      <c r="D146" s="8" t="s">
        <v>29</v>
      </c>
      <c r="E146" s="1"/>
      <c r="F146" s="1"/>
      <c r="G146" s="8" t="s">
        <v>3</v>
      </c>
      <c r="H146" s="8"/>
      <c r="I146" s="8"/>
      <c r="J146" s="8" t="s">
        <v>4</v>
      </c>
      <c r="K146" s="88" t="s">
        <v>8</v>
      </c>
      <c r="L146" s="1"/>
      <c r="M146" s="1"/>
    </row>
    <row r="147" ht="15.75" customHeight="1">
      <c r="A147" s="1"/>
      <c r="B147" s="98" t="s">
        <v>6</v>
      </c>
      <c r="C147" s="58"/>
      <c r="D147" s="59" t="s">
        <v>38</v>
      </c>
      <c r="E147" s="59" t="s">
        <v>39</v>
      </c>
      <c r="F147" s="59" t="s">
        <v>7</v>
      </c>
      <c r="G147" s="59" t="s">
        <v>38</v>
      </c>
      <c r="H147" s="59" t="s">
        <v>39</v>
      </c>
      <c r="I147" s="59" t="s">
        <v>7</v>
      </c>
      <c r="J147" s="59" t="s">
        <v>7</v>
      </c>
      <c r="K147" s="99"/>
      <c r="L147" s="1"/>
      <c r="M147" s="1"/>
    </row>
    <row r="148" ht="15.75" customHeight="1">
      <c r="A148" s="1"/>
      <c r="B148" s="91" t="s">
        <v>102</v>
      </c>
      <c r="C148" s="16"/>
      <c r="D148" s="49">
        <f>SUM(D137,D138,D139,D140,D141)</f>
        <v>155</v>
      </c>
      <c r="E148" s="15">
        <v>72.0</v>
      </c>
      <c r="F148" s="15">
        <f t="shared" ref="F148:F151" si="10">PRODUCT(D148,E148)</f>
        <v>11160</v>
      </c>
      <c r="G148" s="16"/>
      <c r="H148" s="16"/>
      <c r="I148" s="16"/>
      <c r="J148" s="16"/>
      <c r="K148" s="92"/>
      <c r="L148" s="1"/>
      <c r="M148" s="1"/>
    </row>
    <row r="149" ht="15.75" customHeight="1">
      <c r="A149" s="1"/>
      <c r="B149" s="100" t="s">
        <v>105</v>
      </c>
      <c r="C149" s="62"/>
      <c r="D149" s="63">
        <f t="shared" ref="D149:D150" si="11">SUM(D137,D140)</f>
        <v>135</v>
      </c>
      <c r="E149" s="64">
        <v>65.0</v>
      </c>
      <c r="F149" s="64">
        <f t="shared" si="10"/>
        <v>8775</v>
      </c>
      <c r="G149" s="62"/>
      <c r="H149" s="62"/>
      <c r="I149" s="62"/>
      <c r="J149" s="62"/>
      <c r="K149" s="101"/>
      <c r="L149" s="1"/>
      <c r="M149" s="1"/>
    </row>
    <row r="150" ht="15.75" customHeight="1">
      <c r="A150" s="1"/>
      <c r="B150" s="91" t="s">
        <v>107</v>
      </c>
      <c r="C150" s="16"/>
      <c r="D150" s="49">
        <f t="shared" si="11"/>
        <v>15</v>
      </c>
      <c r="E150" s="15">
        <v>65.0</v>
      </c>
      <c r="F150" s="15">
        <f t="shared" si="10"/>
        <v>975</v>
      </c>
      <c r="G150" s="16"/>
      <c r="H150" s="16"/>
      <c r="I150" s="16"/>
      <c r="J150" s="16"/>
      <c r="K150" s="92"/>
      <c r="L150" s="1"/>
      <c r="M150" s="1"/>
    </row>
    <row r="151" ht="15.75" customHeight="1">
      <c r="A151" s="1"/>
      <c r="B151" s="100" t="s">
        <v>106</v>
      </c>
      <c r="C151" s="62"/>
      <c r="D151" s="63">
        <f>SUM(D139)</f>
        <v>5</v>
      </c>
      <c r="E151" s="64">
        <v>30.0</v>
      </c>
      <c r="F151" s="64">
        <f t="shared" si="10"/>
        <v>150</v>
      </c>
      <c r="G151" s="62"/>
      <c r="H151" s="62"/>
      <c r="I151" s="62"/>
      <c r="J151" s="62"/>
      <c r="K151" s="101"/>
      <c r="L151" s="1"/>
      <c r="M151" s="1"/>
    </row>
    <row r="152" ht="15.75" customHeight="1">
      <c r="A152" s="1"/>
      <c r="B152" s="91" t="s">
        <v>111</v>
      </c>
      <c r="C152" s="16"/>
      <c r="D152" s="49">
        <v>1.0</v>
      </c>
      <c r="E152" s="15">
        <v>500.0</v>
      </c>
      <c r="F152" s="15">
        <f t="shared" ref="F152:F153" si="12">D152*E152</f>
        <v>500</v>
      </c>
      <c r="G152" s="16"/>
      <c r="H152" s="16"/>
      <c r="I152" s="16"/>
      <c r="J152" s="16"/>
      <c r="K152" s="92"/>
      <c r="L152" s="1"/>
      <c r="M152" s="1"/>
    </row>
    <row r="153" ht="15.75" customHeight="1">
      <c r="A153" s="1"/>
      <c r="B153" s="100" t="s">
        <v>110</v>
      </c>
      <c r="C153" s="62"/>
      <c r="D153" s="63">
        <v>1.0</v>
      </c>
      <c r="E153" s="64">
        <v>700.0</v>
      </c>
      <c r="F153" s="64">
        <f t="shared" si="12"/>
        <v>700</v>
      </c>
      <c r="G153" s="62"/>
      <c r="H153" s="62"/>
      <c r="I153" s="62"/>
      <c r="J153" s="62"/>
      <c r="K153" s="101"/>
      <c r="L153" s="1"/>
      <c r="M153" s="1"/>
    </row>
    <row r="154" ht="15.75" customHeight="1">
      <c r="A154" s="1"/>
      <c r="B154" s="102" t="s">
        <v>27</v>
      </c>
      <c r="C154" s="104"/>
      <c r="D154" s="104"/>
      <c r="E154" s="104"/>
      <c r="F154" s="103">
        <f>SUM(F148:F153)</f>
        <v>22260</v>
      </c>
      <c r="G154" s="104"/>
      <c r="H154" s="104"/>
      <c r="I154" s="104"/>
      <c r="J154" s="104"/>
      <c r="K154" s="105"/>
      <c r="L154" s="1"/>
      <c r="M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ht="15.75" customHeight="1">
      <c r="A159" s="1"/>
      <c r="B159" s="158" t="s">
        <v>230</v>
      </c>
      <c r="C159" s="82"/>
      <c r="D159" s="82"/>
      <c r="E159" s="82"/>
      <c r="F159" s="82"/>
      <c r="G159" s="82"/>
      <c r="H159" s="82"/>
      <c r="I159" s="82"/>
      <c r="J159" s="82"/>
      <c r="K159" s="83"/>
      <c r="L159" s="1"/>
      <c r="M159" s="1"/>
    </row>
    <row r="160" ht="15.75" customHeight="1">
      <c r="A160" s="1"/>
      <c r="B160" s="84"/>
      <c r="C160" s="1"/>
      <c r="D160" s="1"/>
      <c r="E160" s="1"/>
      <c r="F160" s="1"/>
      <c r="G160" s="1"/>
      <c r="H160" s="1"/>
      <c r="I160" s="1"/>
      <c r="J160" s="1"/>
      <c r="K160" s="85"/>
      <c r="L160" s="1"/>
      <c r="M160" s="1"/>
    </row>
    <row r="161" ht="15.75" customHeight="1">
      <c r="A161" s="1"/>
      <c r="B161" s="87" t="s">
        <v>1</v>
      </c>
      <c r="C161" s="1"/>
      <c r="D161" s="8" t="s">
        <v>29</v>
      </c>
      <c r="E161" s="8" t="s">
        <v>3</v>
      </c>
      <c r="F161" s="8" t="s">
        <v>4</v>
      </c>
      <c r="G161" s="8" t="s">
        <v>8</v>
      </c>
      <c r="H161" s="1"/>
      <c r="I161" s="1"/>
      <c r="J161" s="1"/>
      <c r="K161" s="85"/>
      <c r="L161" s="1"/>
      <c r="M161" s="1"/>
    </row>
    <row r="162" ht="15.75" customHeight="1">
      <c r="A162" s="1"/>
      <c r="B162" s="89" t="s">
        <v>6</v>
      </c>
      <c r="C162" s="29"/>
      <c r="D162" s="30" t="s">
        <v>7</v>
      </c>
      <c r="E162" s="30" t="s">
        <v>7</v>
      </c>
      <c r="F162" s="30" t="s">
        <v>7</v>
      </c>
      <c r="G162" s="29"/>
      <c r="H162" s="1"/>
      <c r="I162" s="1"/>
      <c r="J162" s="1"/>
      <c r="K162" s="85"/>
      <c r="L162" s="1"/>
      <c r="M162" s="1"/>
    </row>
    <row r="163" ht="15.75" customHeight="1">
      <c r="A163" s="1"/>
      <c r="B163" s="91" t="s">
        <v>216</v>
      </c>
      <c r="C163" s="16"/>
      <c r="D163" s="15">
        <f>F175</f>
        <v>23030</v>
      </c>
      <c r="E163" s="16"/>
      <c r="F163" s="16"/>
      <c r="G163" s="16"/>
      <c r="H163" s="1"/>
      <c r="I163" s="1"/>
      <c r="J163" s="1"/>
      <c r="K163" s="85"/>
      <c r="L163" s="1"/>
      <c r="M163" s="1"/>
    </row>
    <row r="164" ht="15.75" customHeight="1">
      <c r="A164" s="1"/>
      <c r="B164" s="107" t="s">
        <v>78</v>
      </c>
      <c r="C164" s="20"/>
      <c r="D164" s="19">
        <f>-F184</f>
        <v>-22930</v>
      </c>
      <c r="E164" s="20"/>
      <c r="F164" s="20"/>
      <c r="G164" s="20"/>
      <c r="H164" s="1"/>
      <c r="I164" s="1"/>
      <c r="J164" s="1"/>
      <c r="K164" s="85"/>
      <c r="L164" s="1"/>
      <c r="M164" s="1"/>
    </row>
    <row r="165" ht="15.75" customHeight="1">
      <c r="A165" s="1"/>
      <c r="B165" s="116" t="s">
        <v>27</v>
      </c>
      <c r="C165" s="32"/>
      <c r="D165" s="33">
        <f>SUM(D163,D164)</f>
        <v>100</v>
      </c>
      <c r="E165" s="32"/>
      <c r="F165" s="32"/>
      <c r="G165" s="32"/>
      <c r="H165" s="1"/>
      <c r="I165" s="1"/>
      <c r="J165" s="1"/>
      <c r="K165" s="85"/>
      <c r="L165" s="1"/>
      <c r="M165" s="1"/>
    </row>
    <row r="166" ht="15.75" customHeight="1">
      <c r="A166" s="1"/>
      <c r="B166" s="84"/>
      <c r="C166" s="1"/>
      <c r="D166" s="1"/>
      <c r="E166" s="1"/>
      <c r="F166" s="1"/>
      <c r="G166" s="1"/>
      <c r="H166" s="1"/>
      <c r="I166" s="1"/>
      <c r="J166" s="1"/>
      <c r="K166" s="85"/>
      <c r="L166" s="1"/>
      <c r="M166" s="1"/>
    </row>
    <row r="167" ht="15.75" customHeight="1">
      <c r="A167" s="1"/>
      <c r="B167" s="84"/>
      <c r="C167" s="1"/>
      <c r="D167" s="1"/>
      <c r="E167" s="1"/>
      <c r="F167" s="1"/>
      <c r="G167" s="1"/>
      <c r="H167" s="1"/>
      <c r="I167" s="1"/>
      <c r="J167" s="1"/>
      <c r="K167" s="85"/>
      <c r="L167" s="1"/>
      <c r="M167" s="1"/>
    </row>
    <row r="168" ht="15.75" customHeight="1">
      <c r="A168" s="1"/>
      <c r="B168" s="87" t="s">
        <v>216</v>
      </c>
      <c r="C168" s="1"/>
      <c r="D168" s="8" t="s">
        <v>29</v>
      </c>
      <c r="E168" s="1"/>
      <c r="F168" s="1"/>
      <c r="G168" s="8" t="s">
        <v>3</v>
      </c>
      <c r="H168" s="8"/>
      <c r="I168" s="8"/>
      <c r="J168" s="8" t="s">
        <v>4</v>
      </c>
      <c r="K168" s="88" t="s">
        <v>8</v>
      </c>
      <c r="L168" s="1"/>
      <c r="M168" s="1"/>
    </row>
    <row r="169" ht="15.75" customHeight="1">
      <c r="A169" s="1"/>
      <c r="B169" s="118" t="s">
        <v>6</v>
      </c>
      <c r="C169" s="37"/>
      <c r="D169" s="38" t="s">
        <v>38</v>
      </c>
      <c r="E169" s="38" t="s">
        <v>39</v>
      </c>
      <c r="F169" s="38" t="s">
        <v>7</v>
      </c>
      <c r="G169" s="38" t="s">
        <v>38</v>
      </c>
      <c r="H169" s="38" t="s">
        <v>39</v>
      </c>
      <c r="I169" s="38" t="s">
        <v>7</v>
      </c>
      <c r="J169" s="38" t="s">
        <v>7</v>
      </c>
      <c r="K169" s="123"/>
      <c r="L169" s="1"/>
      <c r="M169" s="1"/>
    </row>
    <row r="170" ht="15.75" customHeight="1">
      <c r="A170" s="1"/>
      <c r="B170" s="91" t="s">
        <v>116</v>
      </c>
      <c r="C170" s="16"/>
      <c r="D170" s="49">
        <v>105.0</v>
      </c>
      <c r="E170" s="50">
        <v>190.0</v>
      </c>
      <c r="F170" s="15">
        <f t="shared" ref="F170:F174" si="13">PRODUCT(D170,E170)</f>
        <v>19950</v>
      </c>
      <c r="G170" s="16"/>
      <c r="H170" s="16"/>
      <c r="I170" s="16"/>
      <c r="J170" s="16"/>
      <c r="K170" s="92"/>
      <c r="L170" s="1"/>
      <c r="M170" s="1"/>
    </row>
    <row r="171" ht="15.75" customHeight="1">
      <c r="A171" s="1"/>
      <c r="B171" s="124" t="s">
        <v>119</v>
      </c>
      <c r="C171" s="40"/>
      <c r="D171" s="51">
        <v>10.0</v>
      </c>
      <c r="E171" s="41">
        <v>190.0</v>
      </c>
      <c r="F171" s="43">
        <f t="shared" si="13"/>
        <v>1900</v>
      </c>
      <c r="G171" s="40"/>
      <c r="H171" s="40"/>
      <c r="I171" s="40"/>
      <c r="J171" s="40"/>
      <c r="K171" s="125"/>
      <c r="L171" s="1"/>
      <c r="M171" s="1"/>
    </row>
    <row r="172" ht="15.75" customHeight="1">
      <c r="A172" s="1"/>
      <c r="B172" s="91" t="s">
        <v>120</v>
      </c>
      <c r="C172" s="16"/>
      <c r="D172" s="49">
        <v>5.0</v>
      </c>
      <c r="E172" s="50">
        <v>140.0</v>
      </c>
      <c r="F172" s="15">
        <f t="shared" si="13"/>
        <v>700</v>
      </c>
      <c r="G172" s="16"/>
      <c r="H172" s="16"/>
      <c r="I172" s="16"/>
      <c r="J172" s="16"/>
      <c r="K172" s="92"/>
      <c r="L172" s="1"/>
      <c r="M172" s="1"/>
    </row>
    <row r="173" ht="15.75" customHeight="1">
      <c r="A173" s="1"/>
      <c r="B173" s="124" t="s">
        <v>217</v>
      </c>
      <c r="C173" s="40"/>
      <c r="D173" s="51">
        <v>2.0</v>
      </c>
      <c r="E173" s="43">
        <v>240.0</v>
      </c>
      <c r="F173" s="43">
        <f t="shared" si="13"/>
        <v>480</v>
      </c>
      <c r="G173" s="40"/>
      <c r="H173" s="40"/>
      <c r="I173" s="40"/>
      <c r="J173" s="40"/>
      <c r="K173" s="125"/>
      <c r="L173" s="1"/>
      <c r="M173" s="1"/>
    </row>
    <row r="174" ht="15.75" customHeight="1">
      <c r="A174" s="1"/>
      <c r="B174" s="91" t="s">
        <v>218</v>
      </c>
      <c r="C174" s="16"/>
      <c r="D174" s="49">
        <v>0.0</v>
      </c>
      <c r="E174" s="15">
        <v>240.0</v>
      </c>
      <c r="F174" s="15">
        <f t="shared" si="13"/>
        <v>0</v>
      </c>
      <c r="G174" s="16"/>
      <c r="H174" s="16"/>
      <c r="I174" s="16"/>
      <c r="J174" s="16"/>
      <c r="K174" s="92"/>
      <c r="L174" s="1"/>
      <c r="M174" s="1"/>
    </row>
    <row r="175" ht="15.75" customHeight="1">
      <c r="A175" s="1"/>
      <c r="B175" s="119" t="s">
        <v>27</v>
      </c>
      <c r="C175" s="46"/>
      <c r="D175" s="46"/>
      <c r="E175" s="53"/>
      <c r="F175" s="47">
        <f>SUM(F170,F171,F172,F173,F174,)</f>
        <v>23030</v>
      </c>
      <c r="G175" s="46"/>
      <c r="H175" s="46"/>
      <c r="I175" s="46"/>
      <c r="J175" s="46"/>
      <c r="K175" s="126"/>
      <c r="L175" s="1"/>
      <c r="M175" s="1"/>
    </row>
    <row r="176" ht="15.75" customHeight="1">
      <c r="A176" s="1"/>
      <c r="B176" s="84"/>
      <c r="C176" s="1"/>
      <c r="D176" s="1"/>
      <c r="E176" s="1"/>
      <c r="F176" s="1"/>
      <c r="G176" s="1"/>
      <c r="H176" s="1"/>
      <c r="I176" s="1"/>
      <c r="J176" s="1"/>
      <c r="K176" s="85"/>
      <c r="L176" s="1"/>
      <c r="M176" s="1"/>
    </row>
    <row r="177" ht="15.75" customHeight="1">
      <c r="A177" s="1"/>
      <c r="B177" s="84"/>
      <c r="C177" s="1"/>
      <c r="D177" s="1"/>
      <c r="E177" s="1"/>
      <c r="F177" s="1"/>
      <c r="G177" s="1"/>
      <c r="H177" s="1"/>
      <c r="I177" s="1"/>
      <c r="J177" s="1"/>
      <c r="K177" s="85"/>
      <c r="L177" s="1"/>
      <c r="M177" s="1"/>
    </row>
    <row r="178" ht="15.75" customHeight="1">
      <c r="A178" s="1"/>
      <c r="B178" s="87" t="s">
        <v>78</v>
      </c>
      <c r="C178" s="1"/>
      <c r="D178" s="8" t="s">
        <v>29</v>
      </c>
      <c r="E178" s="1"/>
      <c r="F178" s="1"/>
      <c r="G178" s="8" t="s">
        <v>3</v>
      </c>
      <c r="H178" s="8"/>
      <c r="I178" s="8"/>
      <c r="J178" s="8" t="s">
        <v>4</v>
      </c>
      <c r="K178" s="88" t="s">
        <v>8</v>
      </c>
      <c r="L178" s="1"/>
      <c r="M178" s="1"/>
    </row>
    <row r="179" ht="15.75" customHeight="1">
      <c r="A179" s="1"/>
      <c r="B179" s="98" t="s">
        <v>6</v>
      </c>
      <c r="C179" s="58"/>
      <c r="D179" s="59" t="s">
        <v>38</v>
      </c>
      <c r="E179" s="59" t="s">
        <v>39</v>
      </c>
      <c r="F179" s="59" t="s">
        <v>7</v>
      </c>
      <c r="G179" s="59" t="s">
        <v>7</v>
      </c>
      <c r="H179" s="59"/>
      <c r="I179" s="59"/>
      <c r="J179" s="59" t="s">
        <v>7</v>
      </c>
      <c r="K179" s="99"/>
      <c r="L179" s="1"/>
      <c r="M179" s="1"/>
    </row>
    <row r="180" ht="15.75" customHeight="1">
      <c r="A180" s="1"/>
      <c r="B180" s="91" t="s">
        <v>102</v>
      </c>
      <c r="C180" s="16"/>
      <c r="D180" s="49">
        <f>SUM(D170,D171,D172,D173,D174)</f>
        <v>122</v>
      </c>
      <c r="E180" s="15">
        <v>100.0</v>
      </c>
      <c r="F180" s="15">
        <f t="shared" ref="F180:F183" si="14">PRODUCT(D180,E180)</f>
        <v>12200</v>
      </c>
      <c r="G180" s="16"/>
      <c r="H180" s="16"/>
      <c r="I180" s="16"/>
      <c r="J180" s="16"/>
      <c r="K180" s="92"/>
      <c r="L180" s="1"/>
      <c r="M180" s="1"/>
    </row>
    <row r="181" ht="15.75" customHeight="1">
      <c r="A181" s="1"/>
      <c r="B181" s="100" t="s">
        <v>105</v>
      </c>
      <c r="C181" s="62"/>
      <c r="D181" s="63">
        <f t="shared" ref="D181:D182" si="15">SUM(D170,D173)</f>
        <v>107</v>
      </c>
      <c r="E181" s="64">
        <v>90.0</v>
      </c>
      <c r="F181" s="64">
        <f t="shared" si="14"/>
        <v>9630</v>
      </c>
      <c r="G181" s="62"/>
      <c r="H181" s="62"/>
      <c r="I181" s="62"/>
      <c r="J181" s="62"/>
      <c r="K181" s="101"/>
      <c r="L181" s="1"/>
      <c r="M181" s="1"/>
    </row>
    <row r="182" ht="15.75" customHeight="1">
      <c r="A182" s="1"/>
      <c r="B182" s="91" t="s">
        <v>107</v>
      </c>
      <c r="C182" s="16"/>
      <c r="D182" s="49">
        <f t="shared" si="15"/>
        <v>10</v>
      </c>
      <c r="E182" s="15">
        <v>90.0</v>
      </c>
      <c r="F182" s="15">
        <f t="shared" si="14"/>
        <v>900</v>
      </c>
      <c r="G182" s="16"/>
      <c r="H182" s="16"/>
      <c r="I182" s="16"/>
      <c r="J182" s="16"/>
      <c r="K182" s="92"/>
      <c r="L182" s="1"/>
      <c r="M182" s="1"/>
    </row>
    <row r="183" ht="15.75" customHeight="1">
      <c r="A183" s="1"/>
      <c r="B183" s="100" t="s">
        <v>106</v>
      </c>
      <c r="C183" s="62"/>
      <c r="D183" s="63">
        <f>SUM(D172)</f>
        <v>5</v>
      </c>
      <c r="E183" s="64">
        <v>40.0</v>
      </c>
      <c r="F183" s="64">
        <f t="shared" si="14"/>
        <v>200</v>
      </c>
      <c r="G183" s="62"/>
      <c r="H183" s="62"/>
      <c r="I183" s="62"/>
      <c r="J183" s="62"/>
      <c r="K183" s="101"/>
      <c r="L183" s="1"/>
      <c r="M183" s="1"/>
    </row>
    <row r="184" ht="15.75" customHeight="1">
      <c r="A184" s="1"/>
      <c r="B184" s="102" t="s">
        <v>27</v>
      </c>
      <c r="C184" s="104"/>
      <c r="D184" s="104"/>
      <c r="E184" s="132"/>
      <c r="F184" s="103">
        <f>SUM(F180,F181,F182,F183)</f>
        <v>22930</v>
      </c>
      <c r="G184" s="104"/>
      <c r="H184" s="104"/>
      <c r="I184" s="104"/>
      <c r="J184" s="104"/>
      <c r="K184" s="105"/>
      <c r="L184" s="1"/>
      <c r="M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>
      <c r="A3" s="1"/>
      <c r="B3" s="81" t="s">
        <v>20</v>
      </c>
      <c r="C3" s="82"/>
      <c r="D3" s="82"/>
      <c r="E3" s="82"/>
      <c r="F3" s="82"/>
      <c r="G3" s="83"/>
      <c r="H3" s="1"/>
      <c r="I3" s="1"/>
      <c r="J3" s="1"/>
      <c r="K3" s="1"/>
      <c r="L3" s="1"/>
    </row>
    <row r="4" ht="15.75" customHeight="1">
      <c r="A4" s="1"/>
      <c r="B4" s="84"/>
      <c r="C4" s="1"/>
      <c r="D4" s="1"/>
      <c r="E4" s="1"/>
      <c r="F4" s="1"/>
      <c r="G4" s="85"/>
      <c r="H4" s="1"/>
      <c r="I4" s="1"/>
      <c r="J4" s="1"/>
      <c r="K4" s="1"/>
      <c r="L4" s="1"/>
    </row>
    <row r="5" ht="15.75" customHeight="1">
      <c r="A5" s="1"/>
      <c r="B5" s="84"/>
      <c r="C5" s="1"/>
      <c r="D5" s="1"/>
      <c r="E5" s="1"/>
      <c r="F5" s="1"/>
      <c r="G5" s="85"/>
      <c r="H5" s="1"/>
      <c r="I5" s="1"/>
      <c r="J5" s="1"/>
      <c r="K5" s="1"/>
      <c r="L5" s="1"/>
    </row>
    <row r="6" ht="15.75" customHeight="1">
      <c r="A6" s="1"/>
      <c r="B6" s="86" t="s">
        <v>0</v>
      </c>
      <c r="C6" s="1"/>
      <c r="D6" s="1"/>
      <c r="E6" s="1"/>
      <c r="F6" s="1"/>
      <c r="G6" s="85"/>
      <c r="H6" s="1"/>
      <c r="I6" s="1"/>
      <c r="J6" s="1"/>
      <c r="K6" s="1"/>
      <c r="L6" s="1"/>
    </row>
    <row r="7" ht="15.75" customHeight="1">
      <c r="A7" s="1"/>
      <c r="B7" s="84"/>
      <c r="C7" s="1"/>
      <c r="D7" s="1"/>
      <c r="E7" s="1"/>
      <c r="F7" s="1"/>
      <c r="G7" s="85"/>
      <c r="H7" s="1"/>
      <c r="I7" s="1"/>
      <c r="J7" s="1"/>
      <c r="K7" s="1"/>
      <c r="L7" s="1"/>
    </row>
    <row r="8" ht="15.75" customHeight="1">
      <c r="A8" s="1"/>
      <c r="B8" s="87" t="s">
        <v>1</v>
      </c>
      <c r="C8" s="1"/>
      <c r="D8" s="8" t="s">
        <v>29</v>
      </c>
      <c r="E8" s="8" t="s">
        <v>3</v>
      </c>
      <c r="F8" s="8" t="s">
        <v>4</v>
      </c>
      <c r="G8" s="88" t="s">
        <v>8</v>
      </c>
      <c r="H8" s="1"/>
      <c r="I8" s="1"/>
      <c r="J8" s="1"/>
      <c r="K8" s="1"/>
      <c r="L8" s="1"/>
    </row>
    <row r="9" ht="15.75" customHeight="1">
      <c r="A9" s="1"/>
      <c r="B9" s="89" t="s">
        <v>6</v>
      </c>
      <c r="C9" s="29"/>
      <c r="D9" s="30" t="s">
        <v>7</v>
      </c>
      <c r="E9" s="30" t="s">
        <v>7</v>
      </c>
      <c r="F9" s="30" t="s">
        <v>7</v>
      </c>
      <c r="G9" s="90"/>
      <c r="H9" s="1"/>
      <c r="I9" s="1"/>
      <c r="J9" s="1"/>
      <c r="K9" s="1"/>
      <c r="L9" s="1"/>
    </row>
    <row r="10" ht="15.75" customHeight="1">
      <c r="A10" s="1"/>
      <c r="B10" s="91" t="s">
        <v>10</v>
      </c>
      <c r="C10" s="16"/>
      <c r="D10" s="15">
        <f>-D24</f>
        <v>-1209.1</v>
      </c>
      <c r="E10" s="16"/>
      <c r="F10" s="16"/>
      <c r="G10" s="92"/>
      <c r="H10" s="1"/>
      <c r="I10" s="1"/>
      <c r="J10" s="1"/>
      <c r="K10" s="1"/>
      <c r="L10" s="1"/>
    </row>
    <row r="11" ht="15.75" customHeight="1">
      <c r="A11" s="1"/>
      <c r="B11" s="107" t="s">
        <v>231</v>
      </c>
      <c r="C11" s="20"/>
      <c r="D11" s="19">
        <f>-F36</f>
        <v>-3920</v>
      </c>
      <c r="E11" s="20"/>
      <c r="F11" s="20"/>
      <c r="G11" s="108"/>
      <c r="H11" s="1"/>
      <c r="I11" s="1"/>
      <c r="J11" s="1"/>
      <c r="K11" s="1"/>
      <c r="L11" s="1"/>
    </row>
    <row r="12" ht="15.75" customHeight="1">
      <c r="A12" s="1"/>
      <c r="B12" s="93" t="s">
        <v>27</v>
      </c>
      <c r="C12" s="95"/>
      <c r="D12" s="94">
        <f>SUM(D10,D11)</f>
        <v>-5129.1</v>
      </c>
      <c r="E12" s="95"/>
      <c r="F12" s="95"/>
      <c r="G12" s="96"/>
      <c r="H12" s="1"/>
      <c r="I12" s="1"/>
      <c r="J12" s="1"/>
      <c r="K12" s="1"/>
      <c r="L12" s="1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ht="15.75" customHeight="1">
      <c r="A17" s="1"/>
      <c r="B17" s="97" t="s">
        <v>10</v>
      </c>
      <c r="C17" s="82"/>
      <c r="D17" s="82"/>
      <c r="E17" s="82"/>
      <c r="F17" s="82"/>
      <c r="G17" s="83"/>
      <c r="H17" s="1"/>
      <c r="I17" s="1"/>
      <c r="J17" s="1"/>
      <c r="K17" s="1"/>
      <c r="L17" s="1"/>
    </row>
    <row r="18" ht="15.75" customHeight="1">
      <c r="A18" s="1"/>
      <c r="B18" s="84"/>
      <c r="C18" s="1"/>
      <c r="D18" s="1"/>
      <c r="E18" s="1"/>
      <c r="F18" s="1"/>
      <c r="G18" s="85"/>
      <c r="H18" s="1"/>
      <c r="I18" s="1"/>
      <c r="J18" s="1"/>
      <c r="K18" s="1"/>
      <c r="L18" s="1"/>
    </row>
    <row r="19" ht="15.75" customHeight="1">
      <c r="A19" s="1"/>
      <c r="B19" s="87" t="s">
        <v>1</v>
      </c>
      <c r="C19" s="1"/>
      <c r="D19" s="8" t="s">
        <v>29</v>
      </c>
      <c r="E19" s="8" t="s">
        <v>3</v>
      </c>
      <c r="F19" s="8" t="s">
        <v>4</v>
      </c>
      <c r="G19" s="88" t="s">
        <v>8</v>
      </c>
      <c r="H19" s="1"/>
      <c r="I19" s="1"/>
      <c r="J19" s="1"/>
      <c r="K19" s="1"/>
      <c r="L19" s="1"/>
    </row>
    <row r="20" ht="15.75" customHeight="1">
      <c r="A20" s="1"/>
      <c r="B20" s="98" t="s">
        <v>6</v>
      </c>
      <c r="C20" s="58"/>
      <c r="D20" s="59" t="s">
        <v>7</v>
      </c>
      <c r="E20" s="59" t="s">
        <v>7</v>
      </c>
      <c r="F20" s="59" t="s">
        <v>7</v>
      </c>
      <c r="G20" s="99"/>
      <c r="H20" s="1"/>
      <c r="I20" s="1"/>
      <c r="J20" s="1"/>
      <c r="K20" s="1"/>
      <c r="L20" s="1"/>
    </row>
    <row r="21" ht="15.75" customHeight="1">
      <c r="A21" s="1"/>
      <c r="B21" s="91" t="s">
        <v>232</v>
      </c>
      <c r="C21" s="16"/>
      <c r="D21" s="15">
        <v>500.0</v>
      </c>
      <c r="E21" s="15"/>
      <c r="F21" s="66"/>
      <c r="G21" s="92" t="s">
        <v>233</v>
      </c>
      <c r="H21" s="1"/>
      <c r="I21" s="1"/>
      <c r="J21" s="1"/>
      <c r="K21" s="1"/>
      <c r="L21" s="1"/>
    </row>
    <row r="22" ht="15.75" customHeight="1">
      <c r="A22" s="1"/>
      <c r="B22" s="100" t="s">
        <v>234</v>
      </c>
      <c r="C22" s="62"/>
      <c r="D22" s="64">
        <v>0.0</v>
      </c>
      <c r="E22" s="64"/>
      <c r="F22" s="62"/>
      <c r="G22" s="101" t="s">
        <v>235</v>
      </c>
      <c r="H22" s="1"/>
      <c r="I22" s="1"/>
      <c r="J22" s="1"/>
      <c r="K22" s="1"/>
      <c r="L22" s="1"/>
    </row>
    <row r="23" ht="15.75" customHeight="1">
      <c r="A23" s="1"/>
      <c r="B23" s="91" t="s">
        <v>236</v>
      </c>
      <c r="C23" s="16"/>
      <c r="D23" s="15">
        <v>709.1</v>
      </c>
      <c r="E23" s="15"/>
      <c r="F23" s="16"/>
      <c r="G23" s="92" t="s">
        <v>237</v>
      </c>
      <c r="H23" s="1"/>
      <c r="I23" s="1"/>
      <c r="J23" s="1"/>
      <c r="K23" s="1"/>
      <c r="L23" s="1"/>
    </row>
    <row r="24" ht="15.75" customHeight="1">
      <c r="A24" s="1"/>
      <c r="B24" s="102" t="s">
        <v>27</v>
      </c>
      <c r="C24" s="104"/>
      <c r="D24" s="103">
        <f>SUM(D21,D22,D23)</f>
        <v>1209.1</v>
      </c>
      <c r="E24" s="103"/>
      <c r="F24" s="104"/>
      <c r="G24" s="105"/>
      <c r="H24" s="1"/>
      <c r="I24" s="1"/>
      <c r="J24" s="1"/>
      <c r="K24" s="1"/>
      <c r="L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.75" customHeight="1">
      <c r="A29" s="1"/>
      <c r="B29" s="97" t="s">
        <v>231</v>
      </c>
      <c r="C29" s="82"/>
      <c r="D29" s="82"/>
      <c r="E29" s="82"/>
      <c r="F29" s="82"/>
      <c r="G29" s="82"/>
      <c r="H29" s="82"/>
      <c r="I29" s="82"/>
      <c r="J29" s="82"/>
      <c r="K29" s="83"/>
      <c r="L29" s="1"/>
    </row>
    <row r="30" ht="15.75" customHeight="1">
      <c r="A30" s="1"/>
      <c r="B30" s="84"/>
      <c r="C30" s="1"/>
      <c r="D30" s="1"/>
      <c r="E30" s="1"/>
      <c r="F30" s="1"/>
      <c r="G30" s="1"/>
      <c r="H30" s="1"/>
      <c r="I30" s="1"/>
      <c r="J30" s="1"/>
      <c r="K30" s="85"/>
      <c r="L30" s="1"/>
    </row>
    <row r="31" ht="15.75" customHeight="1">
      <c r="A31" s="1"/>
      <c r="B31" s="87" t="s">
        <v>1</v>
      </c>
      <c r="C31" s="1"/>
      <c r="D31" s="8" t="s">
        <v>29</v>
      </c>
      <c r="E31" s="1"/>
      <c r="F31" s="1"/>
      <c r="G31" s="8" t="s">
        <v>3</v>
      </c>
      <c r="H31" s="1"/>
      <c r="I31" s="1"/>
      <c r="J31" s="8" t="s">
        <v>4</v>
      </c>
      <c r="K31" s="88" t="s">
        <v>8</v>
      </c>
      <c r="L31" s="1"/>
    </row>
    <row r="32" ht="15.75" customHeight="1">
      <c r="A32" s="1"/>
      <c r="B32" s="98" t="s">
        <v>6</v>
      </c>
      <c r="C32" s="58"/>
      <c r="D32" s="59" t="s">
        <v>38</v>
      </c>
      <c r="E32" s="59" t="s">
        <v>39</v>
      </c>
      <c r="F32" s="59" t="s">
        <v>7</v>
      </c>
      <c r="G32" s="59" t="s">
        <v>38</v>
      </c>
      <c r="H32" s="59" t="s">
        <v>39</v>
      </c>
      <c r="I32" s="59" t="s">
        <v>7</v>
      </c>
      <c r="J32" s="59" t="s">
        <v>7</v>
      </c>
      <c r="K32" s="99"/>
      <c r="L32" s="1"/>
    </row>
    <row r="33" ht="15.75" customHeight="1">
      <c r="A33" s="1"/>
      <c r="B33" s="91" t="s">
        <v>102</v>
      </c>
      <c r="C33" s="16"/>
      <c r="D33" s="49">
        <v>140.0</v>
      </c>
      <c r="E33" s="15">
        <v>18.0</v>
      </c>
      <c r="F33" s="15">
        <f t="shared" ref="F33:F35" si="1">PRODUCT(D33,E33)</f>
        <v>2520</v>
      </c>
      <c r="G33" s="16"/>
      <c r="H33" s="16"/>
      <c r="I33" s="16"/>
      <c r="J33" s="16"/>
      <c r="K33" s="92" t="s">
        <v>238</v>
      </c>
      <c r="L33" s="1"/>
    </row>
    <row r="34" ht="15.75" customHeight="1">
      <c r="A34" s="1"/>
      <c r="B34" s="163" t="s">
        <v>219</v>
      </c>
      <c r="C34" s="62"/>
      <c r="D34" s="63">
        <v>140.0</v>
      </c>
      <c r="E34" s="64">
        <v>10.0</v>
      </c>
      <c r="F34" s="64">
        <f t="shared" si="1"/>
        <v>1400</v>
      </c>
      <c r="G34" s="62"/>
      <c r="H34" s="62"/>
      <c r="I34" s="62"/>
      <c r="J34" s="62"/>
      <c r="K34" s="101" t="s">
        <v>239</v>
      </c>
      <c r="L34" s="1"/>
    </row>
    <row r="35" ht="15.75" customHeight="1">
      <c r="A35" s="1"/>
      <c r="B35" s="91" t="s">
        <v>37</v>
      </c>
      <c r="C35" s="16"/>
      <c r="D35" s="49">
        <v>0.0</v>
      </c>
      <c r="E35" s="15">
        <v>0.0</v>
      </c>
      <c r="F35" s="15">
        <f t="shared" si="1"/>
        <v>0</v>
      </c>
      <c r="G35" s="16"/>
      <c r="H35" s="16"/>
      <c r="I35" s="16"/>
      <c r="J35" s="16"/>
      <c r="K35" s="92"/>
      <c r="L35" s="1"/>
    </row>
    <row r="36" ht="15.75" customHeight="1">
      <c r="A36" s="1"/>
      <c r="B36" s="102" t="s">
        <v>27</v>
      </c>
      <c r="C36" s="104"/>
      <c r="D36" s="104"/>
      <c r="E36" s="132"/>
      <c r="F36" s="103">
        <f>SUM(F33,F34,F35)</f>
        <v>3920</v>
      </c>
      <c r="G36" s="104"/>
      <c r="H36" s="104"/>
      <c r="I36" s="104"/>
      <c r="J36" s="104"/>
      <c r="K36" s="105"/>
      <c r="L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  <legacyDrawing r:id="rId3"/>
</worksheet>
</file>